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sin\Desktop\"/>
    </mc:Choice>
  </mc:AlternateContent>
  <workbookProtection workbookAlgorithmName="SHA-512" workbookHashValue="ajHUUU0ZKPdv9FXP9yw0H2/QXZ9atBv8wLcLqAA0+9XdIny7B/iKCKxQFp95YoM6U+JP9evoXubZ7DYj6YR4wQ==" workbookSaltValue="ZROK0V+8Z/XvtxKLYDSXzA==" workbookSpinCount="100000" lockStructure="1"/>
  <bookViews>
    <workbookView xWindow="480" yWindow="120" windowWidth="22995" windowHeight="10035" activeTab="1"/>
  </bookViews>
  <sheets>
    <sheet name="AÇIKLAMA" sheetId="2" r:id="rId1"/>
    <sheet name="PROGRAM" sheetId="1" r:id="rId2"/>
  </sheets>
  <calcPr calcId="152511"/>
</workbook>
</file>

<file path=xl/calcChain.xml><?xml version="1.0" encoding="utf-8"?>
<calcChain xmlns="http://schemas.openxmlformats.org/spreadsheetml/2006/main">
  <c r="AF7" i="1" l="1"/>
  <c r="AF9" i="1" s="1"/>
  <c r="AF8" i="1"/>
  <c r="R10" i="1"/>
  <c r="AF10" i="1" l="1"/>
  <c r="K11" i="1" s="1"/>
  <c r="Y7" i="1"/>
  <c r="Y9" i="1" s="1"/>
  <c r="Z7" i="1"/>
  <c r="Z9" i="1" s="1"/>
  <c r="AA7" i="1"/>
  <c r="AA9" i="1" s="1"/>
  <c r="AB7" i="1"/>
  <c r="AB9" i="1" s="1"/>
  <c r="AC7" i="1"/>
  <c r="AC9" i="1" s="1"/>
  <c r="AD7" i="1"/>
  <c r="AD9" i="1" s="1"/>
  <c r="AE7" i="1"/>
  <c r="AE9" i="1" s="1"/>
  <c r="Y8" i="1"/>
  <c r="Z8" i="1"/>
  <c r="AA8" i="1"/>
  <c r="AB8" i="1"/>
  <c r="AC8" i="1"/>
  <c r="AD8" i="1"/>
  <c r="AE8" i="1"/>
  <c r="X8" i="1"/>
  <c r="X7" i="1"/>
  <c r="X9" i="1" s="1"/>
  <c r="Y10" i="1" l="1"/>
  <c r="D11" i="1" s="1"/>
  <c r="AA10" i="1"/>
  <c r="F11" i="1" s="1"/>
  <c r="Z10" i="1"/>
  <c r="E11" i="1" s="1"/>
  <c r="X10" i="1"/>
  <c r="C11" i="1" s="1"/>
  <c r="AE10" i="1"/>
  <c r="J11" i="1" s="1"/>
  <c r="AB10" i="1"/>
  <c r="G11" i="1" s="1"/>
  <c r="AD10" i="1"/>
  <c r="I11" i="1" s="1"/>
  <c r="AC10" i="1"/>
  <c r="H11" i="1" s="1"/>
  <c r="R8" i="1"/>
  <c r="R16" i="1"/>
  <c r="R13" i="1"/>
  <c r="R12" i="1"/>
  <c r="R9" i="1"/>
  <c r="R7" i="1"/>
  <c r="R6" i="1"/>
  <c r="C10" i="1" l="1"/>
  <c r="D10" i="1"/>
  <c r="J24" i="1" s="1"/>
  <c r="J25" i="1" s="1"/>
  <c r="E10" i="1"/>
  <c r="K24" i="1" s="1"/>
  <c r="K25" i="1" s="1"/>
  <c r="F10" i="1"/>
  <c r="G10" i="1"/>
  <c r="H10" i="1"/>
  <c r="I10" i="1"/>
  <c r="J10" i="1"/>
  <c r="K10" i="1"/>
  <c r="F29" i="1" l="1"/>
  <c r="I30" i="1"/>
  <c r="I21" i="1"/>
  <c r="F27" i="1"/>
  <c r="F25" i="1"/>
  <c r="I24" i="1"/>
  <c r="I25" i="1" s="1"/>
  <c r="K19" i="1"/>
  <c r="K20" i="1" s="1"/>
  <c r="K28" i="1"/>
  <c r="K29" i="1" s="1"/>
  <c r="I19" i="1"/>
  <c r="I20" i="1" s="1"/>
  <c r="I28" i="1"/>
  <c r="I29" i="1" s="1"/>
  <c r="J19" i="1"/>
  <c r="J20" i="1" s="1"/>
  <c r="J28" i="1"/>
  <c r="J29" i="1" s="1"/>
  <c r="K17" i="1"/>
  <c r="K18" i="1" s="1"/>
  <c r="K26" i="1"/>
  <c r="K27" i="1" s="1"/>
  <c r="J17" i="1"/>
  <c r="J18" i="1" s="1"/>
  <c r="J26" i="1"/>
  <c r="J27" i="1" s="1"/>
  <c r="I17" i="1"/>
  <c r="I18" i="1" s="1"/>
  <c r="I26" i="1"/>
  <c r="I27" i="1" s="1"/>
  <c r="I15" i="1"/>
  <c r="I16" i="1" s="1"/>
  <c r="F17" i="1"/>
  <c r="G15" i="1"/>
  <c r="K15" i="1"/>
  <c r="K16" i="1" s="1"/>
  <c r="L10" i="1"/>
  <c r="B30" i="1" s="1"/>
  <c r="J15" i="1"/>
  <c r="J16" i="1" s="1"/>
  <c r="H27" i="1" l="1"/>
  <c r="G27" i="1" s="1"/>
  <c r="H25" i="1"/>
  <c r="G25" i="1" s="1"/>
  <c r="E28" i="1"/>
  <c r="H29" i="1"/>
  <c r="G29" i="1" s="1"/>
  <c r="C28" i="1"/>
  <c r="H17" i="1"/>
  <c r="G17" i="1" s="1"/>
  <c r="F30" i="1"/>
  <c r="M4" i="1"/>
  <c r="R5" i="1"/>
  <c r="D28" i="1" l="1"/>
  <c r="F21" i="1"/>
  <c r="M18" i="1" s="1"/>
  <c r="M27" i="1"/>
</calcChain>
</file>

<file path=xl/sharedStrings.xml><?xml version="1.0" encoding="utf-8"?>
<sst xmlns="http://schemas.openxmlformats.org/spreadsheetml/2006/main" count="57" uniqueCount="53">
  <si>
    <t>NO</t>
  </si>
  <si>
    <t>28 GÜNLÜK BASINÇ DAYANIMI (MPa)</t>
  </si>
  <si>
    <t>TS EN 206-1'E GÖRE BETON UYGUNLUK DEĞERLENDİRMESİ</t>
  </si>
  <si>
    <t>1. KRİTER</t>
  </si>
  <si>
    <t>2. KRİTER</t>
  </si>
  <si>
    <t>TSE 500'E GÖRE BETON UYGUNLUK DEĞERLENDİRMESİ</t>
  </si>
  <si>
    <r>
      <t>f</t>
    </r>
    <r>
      <rPr>
        <b/>
        <vertAlign val="subscript"/>
        <sz val="16"/>
        <color theme="1"/>
        <rFont val="Calibri"/>
        <family val="2"/>
        <charset val="162"/>
        <scheme val="minor"/>
      </rPr>
      <t>cm</t>
    </r>
    <r>
      <rPr>
        <b/>
        <sz val="16"/>
        <color theme="1"/>
        <rFont val="Calibri"/>
        <family val="2"/>
        <charset val="162"/>
        <scheme val="minor"/>
      </rPr>
      <t xml:space="preserve"> ≥f</t>
    </r>
    <r>
      <rPr>
        <b/>
        <vertAlign val="subscript"/>
        <sz val="16"/>
        <color theme="1"/>
        <rFont val="Calibri"/>
        <family val="2"/>
        <charset val="162"/>
        <scheme val="minor"/>
      </rPr>
      <t>ck</t>
    </r>
    <r>
      <rPr>
        <b/>
        <sz val="16"/>
        <color theme="1"/>
        <rFont val="Calibri"/>
        <family val="2"/>
        <charset val="162"/>
        <scheme val="minor"/>
      </rPr>
      <t xml:space="preserve"> + 1  </t>
    </r>
  </si>
  <si>
    <t>1.KRİTER</t>
  </si>
  <si>
    <t>C20/25</t>
  </si>
  <si>
    <t>C25/30</t>
  </si>
  <si>
    <t>C30/37</t>
  </si>
  <si>
    <t>C35/45</t>
  </si>
  <si>
    <t>C45/55</t>
  </si>
  <si>
    <t>C50/C60</t>
  </si>
  <si>
    <t>Beton Sınıfı Seçiniz</t>
  </si>
  <si>
    <t>C40/50</t>
  </si>
  <si>
    <t xml:space="preserve">n = 1 ise UYGULANMAZ </t>
  </si>
  <si>
    <t>2.KRİTER</t>
  </si>
  <si>
    <t>TS EN 206-1 STANDARDINA GÖRE</t>
  </si>
  <si>
    <t>-</t>
  </si>
  <si>
    <t>TS 500 STANDARDINA GÖRE</t>
  </si>
  <si>
    <t>≥</t>
  </si>
  <si>
    <t>fck: karakteristik basınç dayanımı</t>
  </si>
  <si>
    <t>fci: tek deney ya da grup dayanımı</t>
  </si>
  <si>
    <t>fcm: deney ya da parti ort. dayanımı</t>
  </si>
  <si>
    <r>
      <t>f</t>
    </r>
    <r>
      <rPr>
        <b/>
        <vertAlign val="subscript"/>
        <sz val="16"/>
        <color theme="1"/>
        <rFont val="Calibri"/>
        <family val="2"/>
        <charset val="162"/>
        <scheme val="minor"/>
      </rPr>
      <t>ci</t>
    </r>
    <r>
      <rPr>
        <b/>
        <sz val="16"/>
        <color theme="1"/>
        <rFont val="Calibri"/>
        <family val="2"/>
        <charset val="162"/>
        <scheme val="minor"/>
      </rPr>
      <t xml:space="preserve"> ≥f</t>
    </r>
    <r>
      <rPr>
        <b/>
        <vertAlign val="subscript"/>
        <sz val="16"/>
        <color theme="1"/>
        <rFont val="Calibri"/>
        <family val="2"/>
        <charset val="162"/>
        <scheme val="minor"/>
      </rPr>
      <t>ck</t>
    </r>
    <r>
      <rPr>
        <b/>
        <sz val="16"/>
        <color theme="1"/>
        <rFont val="Calibri"/>
        <family val="2"/>
        <charset val="162"/>
        <scheme val="minor"/>
      </rPr>
      <t xml:space="preserve"> - 3  </t>
    </r>
  </si>
  <si>
    <r>
      <t>f</t>
    </r>
    <r>
      <rPr>
        <b/>
        <vertAlign val="subscript"/>
        <sz val="16"/>
        <color theme="1"/>
        <rFont val="Calibri"/>
        <family val="2"/>
        <charset val="162"/>
        <scheme val="minor"/>
      </rPr>
      <t>ci</t>
    </r>
    <r>
      <rPr>
        <b/>
        <sz val="16"/>
        <color theme="1"/>
        <rFont val="Calibri"/>
        <family val="2"/>
        <charset val="162"/>
        <scheme val="minor"/>
      </rPr>
      <t xml:space="preserve"> ≥f</t>
    </r>
    <r>
      <rPr>
        <b/>
        <vertAlign val="subscript"/>
        <sz val="16"/>
        <color theme="1"/>
        <rFont val="Calibri"/>
        <family val="2"/>
        <charset val="162"/>
        <scheme val="minor"/>
      </rPr>
      <t>ck</t>
    </r>
    <r>
      <rPr>
        <b/>
        <sz val="16"/>
        <color theme="1"/>
        <rFont val="Calibri"/>
        <family val="2"/>
        <charset val="162"/>
        <scheme val="minor"/>
      </rPr>
      <t xml:space="preserve"> - 4  </t>
    </r>
  </si>
  <si>
    <t>DENEY NO 1 (D1)</t>
  </si>
  <si>
    <t>DENEY NO 2 (D2)</t>
  </si>
  <si>
    <t>DENEY NO 3 (D3)</t>
  </si>
  <si>
    <t>DENEY NO 4 (D4)</t>
  </si>
  <si>
    <t>DENEY NO 5 (D5)</t>
  </si>
  <si>
    <t>DENEY NO 6 (D6)</t>
  </si>
  <si>
    <t>DENEY NO 7 (D7)</t>
  </si>
  <si>
    <t>DENEY NO 8 (D8)</t>
  </si>
  <si>
    <t>DENEY NO 9 (D9)</t>
  </si>
  <si>
    <t>Grup No 2 (G2)= (D4,D5,D6)</t>
  </si>
  <si>
    <t>Grup No 1 (G1) = (D1,D2,D3)</t>
  </si>
  <si>
    <t>Grup No 3 (G3)= (D7,D8,D9)</t>
  </si>
  <si>
    <t>G1</t>
  </si>
  <si>
    <t>G2</t>
  </si>
  <si>
    <t>G3</t>
  </si>
  <si>
    <t xml:space="preserve">P1(G1,G2,G3) </t>
  </si>
  <si>
    <t>Deney sonuçlarının en büyüğü ile en küçüğü arasındaki farkın, aritmetik ortalamanın %15’den daha fazla olması durumunda deney sonuçları iptal edilir.</t>
  </si>
  <si>
    <t>C50/60</t>
  </si>
  <si>
    <r>
      <t>f</t>
    </r>
    <r>
      <rPr>
        <b/>
        <i/>
        <vertAlign val="subscript"/>
        <sz val="14"/>
        <color theme="1"/>
        <rFont val="Calibri"/>
        <family val="2"/>
        <charset val="162"/>
        <scheme val="minor"/>
      </rPr>
      <t>ort</t>
    </r>
  </si>
  <si>
    <r>
      <t>f</t>
    </r>
    <r>
      <rPr>
        <b/>
        <vertAlign val="subscript"/>
        <sz val="14"/>
        <color theme="1"/>
        <rFont val="Calibri"/>
        <family val="2"/>
        <charset val="162"/>
        <scheme val="minor"/>
      </rPr>
      <t>cm</t>
    </r>
    <r>
      <rPr>
        <b/>
        <sz val="14"/>
        <color theme="1"/>
        <rFont val="Calibri"/>
        <family val="2"/>
        <charset val="162"/>
        <scheme val="minor"/>
      </rPr>
      <t xml:space="preserve"> = </t>
    </r>
  </si>
  <si>
    <r>
      <t xml:space="preserve">  n = 2-4 ise f</t>
    </r>
    <r>
      <rPr>
        <b/>
        <vertAlign val="subscript"/>
        <sz val="13"/>
        <color theme="1"/>
        <rFont val="Calibri"/>
        <family val="2"/>
        <charset val="162"/>
        <scheme val="minor"/>
      </rPr>
      <t>cm</t>
    </r>
    <r>
      <rPr>
        <b/>
        <sz val="13"/>
        <color theme="1"/>
        <rFont val="Calibri"/>
        <family val="2"/>
        <charset val="162"/>
        <scheme val="minor"/>
      </rPr>
      <t xml:space="preserve"> ≥ f</t>
    </r>
    <r>
      <rPr>
        <b/>
        <vertAlign val="subscript"/>
        <sz val="13"/>
        <color theme="1"/>
        <rFont val="Calibri"/>
        <family val="2"/>
        <charset val="162"/>
        <scheme val="minor"/>
      </rPr>
      <t>ck</t>
    </r>
    <r>
      <rPr>
        <b/>
        <sz val="13"/>
        <color theme="1"/>
        <rFont val="Calibri"/>
        <family val="2"/>
        <charset val="162"/>
        <scheme val="minor"/>
      </rPr>
      <t xml:space="preserve"> + 1 </t>
    </r>
  </si>
  <si>
    <r>
      <t xml:space="preserve">     n = 5-6 ise f</t>
    </r>
    <r>
      <rPr>
        <b/>
        <vertAlign val="subscript"/>
        <sz val="13"/>
        <color theme="1"/>
        <rFont val="Calibri"/>
        <family val="2"/>
        <charset val="162"/>
        <scheme val="minor"/>
      </rPr>
      <t>cm</t>
    </r>
    <r>
      <rPr>
        <b/>
        <sz val="13"/>
        <color theme="1"/>
        <rFont val="Calibri"/>
        <family val="2"/>
        <charset val="162"/>
        <scheme val="minor"/>
      </rPr>
      <t xml:space="preserve"> ≥f</t>
    </r>
    <r>
      <rPr>
        <b/>
        <vertAlign val="subscript"/>
        <sz val="13"/>
        <color theme="1"/>
        <rFont val="Calibri"/>
        <family val="2"/>
        <charset val="162"/>
        <scheme val="minor"/>
      </rPr>
      <t>ck</t>
    </r>
    <r>
      <rPr>
        <b/>
        <sz val="13"/>
        <color theme="1"/>
        <rFont val="Calibri"/>
        <family val="2"/>
        <charset val="162"/>
        <scheme val="minor"/>
      </rPr>
      <t xml:space="preserve"> + 2</t>
    </r>
  </si>
  <si>
    <t>YANLIŞ DEĞERLENDİRME</t>
  </si>
  <si>
    <t xml:space="preserve">HAZIRLAYAN: YASİN ENGİN (İnş.Yük.Müh)               </t>
  </si>
  <si>
    <t xml:space="preserve">www.betonvecimento.com </t>
  </si>
  <si>
    <t>yasin.engin@gmail.com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</si>
</sst>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i/>
      <sz val="14"/>
      <color theme="0"/>
      <name val="Calibri"/>
      <family val="2"/>
      <charset val="162"/>
      <scheme val="minor"/>
    </font>
    <font>
      <b/>
      <i/>
      <sz val="14"/>
      <color theme="1"/>
      <name val="Calibri"/>
      <family val="2"/>
      <charset val="162"/>
      <scheme val="minor"/>
    </font>
    <font>
      <sz val="12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vertAlign val="subscript"/>
      <sz val="1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8"/>
      <color theme="0"/>
      <name val="Calibri"/>
      <family val="2"/>
      <charset val="162"/>
      <scheme val="minor"/>
    </font>
    <font>
      <sz val="8"/>
      <color theme="0" tint="-4.9989318521683403E-2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vertAlign val="subscript"/>
      <sz val="14"/>
      <color theme="1"/>
      <name val="Calibri"/>
      <family val="2"/>
      <charset val="162"/>
      <scheme val="minor"/>
    </font>
    <font>
      <sz val="8"/>
      <color theme="8" tint="0.79998168889431442"/>
      <name val="Calibri"/>
      <family val="2"/>
      <charset val="162"/>
      <scheme val="minor"/>
    </font>
    <font>
      <b/>
      <i/>
      <sz val="10"/>
      <color theme="1"/>
      <name val="Calibri"/>
      <family val="2"/>
      <charset val="162"/>
      <scheme val="minor"/>
    </font>
    <font>
      <b/>
      <i/>
      <sz val="1"/>
      <color theme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"/>
      <color theme="8" tint="0.79998168889431442"/>
      <name val="Calibri"/>
      <family val="2"/>
      <charset val="162"/>
      <scheme val="minor"/>
    </font>
    <font>
      <b/>
      <i/>
      <vertAlign val="subscript"/>
      <sz val="14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vertAlign val="subscript"/>
      <sz val="13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b/>
      <u/>
      <sz val="14"/>
      <color theme="0"/>
      <name val="Calibri"/>
      <family val="2"/>
      <charset val="162"/>
      <scheme val="minor"/>
    </font>
    <font>
      <sz val="11"/>
      <color theme="0"/>
      <name val="Calibri"/>
      <family val="2"/>
      <charset val="16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97">
    <xf numFmtId="0" fontId="0" fillId="0" borderId="0" xfId="0"/>
    <xf numFmtId="164" fontId="7" fillId="6" borderId="5" xfId="0" applyNumberFormat="1" applyFont="1" applyFill="1" applyBorder="1" applyAlignment="1">
      <alignment horizontal="center" vertical="center"/>
    </xf>
    <xf numFmtId="164" fontId="7" fillId="6" borderId="6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0" fillId="8" borderId="0" xfId="0" applyFill="1" applyBorder="1"/>
    <xf numFmtId="0" fontId="2" fillId="0" borderId="0" xfId="0" applyFont="1"/>
    <xf numFmtId="0" fontId="9" fillId="8" borderId="0" xfId="0" applyFont="1" applyFill="1" applyBorder="1" applyAlignment="1">
      <alignment horizontal="center"/>
    </xf>
    <xf numFmtId="0" fontId="10" fillId="8" borderId="15" xfId="0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0" fontId="14" fillId="0" borderId="0" xfId="0" applyFont="1"/>
    <xf numFmtId="0" fontId="10" fillId="8" borderId="0" xfId="0" applyFont="1" applyFill="1" applyBorder="1"/>
    <xf numFmtId="164" fontId="3" fillId="8" borderId="25" xfId="0" applyNumberFormat="1" applyFont="1" applyFill="1" applyBorder="1" applyAlignment="1">
      <alignment horizontal="center" vertical="center"/>
    </xf>
    <xf numFmtId="164" fontId="3" fillId="8" borderId="18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4" fillId="0" borderId="0" xfId="0" applyFont="1" applyFill="1" applyBorder="1"/>
    <xf numFmtId="0" fontId="0" fillId="3" borderId="0" xfId="0" applyFill="1" applyBorder="1"/>
    <xf numFmtId="0" fontId="0" fillId="12" borderId="0" xfId="0" applyFill="1"/>
    <xf numFmtId="0" fontId="14" fillId="12" borderId="0" xfId="0" applyFont="1" applyFill="1"/>
    <xf numFmtId="0" fontId="0" fillId="0" borderId="0" xfId="0" applyFont="1"/>
    <xf numFmtId="0" fontId="0" fillId="12" borderId="0" xfId="0" applyFont="1" applyFill="1"/>
    <xf numFmtId="0" fontId="0" fillId="12" borderId="0" xfId="0" applyFont="1" applyFill="1" applyAlignment="1">
      <alignment horizontal="center"/>
    </xf>
    <xf numFmtId="0" fontId="16" fillId="12" borderId="0" xfId="0" applyFont="1" applyFill="1"/>
    <xf numFmtId="164" fontId="0" fillId="12" borderId="0" xfId="0" applyNumberFormat="1" applyFont="1" applyFill="1"/>
    <xf numFmtId="164" fontId="8" fillId="12" borderId="19" xfId="0" applyNumberFormat="1" applyFont="1" applyFill="1" applyBorder="1" applyAlignment="1">
      <alignment horizontal="center" vertical="center"/>
    </xf>
    <xf numFmtId="0" fontId="2" fillId="0" borderId="0" xfId="0" applyFont="1" applyProtection="1">
      <protection locked="0"/>
    </xf>
    <xf numFmtId="164" fontId="3" fillId="3" borderId="23" xfId="0" applyNumberFormat="1" applyFont="1" applyFill="1" applyBorder="1" applyAlignment="1">
      <alignment horizontal="center" vertical="center"/>
    </xf>
    <xf numFmtId="0" fontId="17" fillId="13" borderId="11" xfId="0" applyFont="1" applyFill="1" applyBorder="1"/>
    <xf numFmtId="0" fontId="17" fillId="13" borderId="15" xfId="0" applyFont="1" applyFill="1" applyBorder="1"/>
    <xf numFmtId="0" fontId="0" fillId="13" borderId="15" xfId="0" applyFill="1" applyBorder="1"/>
    <xf numFmtId="0" fontId="17" fillId="13" borderId="16" xfId="0" applyFont="1" applyFill="1" applyBorder="1"/>
    <xf numFmtId="0" fontId="17" fillId="13" borderId="0" xfId="0" applyFont="1" applyFill="1" applyBorder="1"/>
    <xf numFmtId="0" fontId="0" fillId="13" borderId="0" xfId="0" applyFill="1" applyBorder="1"/>
    <xf numFmtId="0" fontId="17" fillId="13" borderId="13" xfId="0" applyFont="1" applyFill="1" applyBorder="1"/>
    <xf numFmtId="0" fontId="17" fillId="13" borderId="10" xfId="0" applyFont="1" applyFill="1" applyBorder="1"/>
    <xf numFmtId="0" fontId="0" fillId="13" borderId="10" xfId="0" applyFill="1" applyBorder="1"/>
    <xf numFmtId="0" fontId="0" fillId="13" borderId="0" xfId="0" applyFill="1"/>
    <xf numFmtId="0" fontId="17" fillId="13" borderId="0" xfId="0" applyFont="1" applyFill="1" applyBorder="1" applyAlignment="1">
      <alignment vertical="top"/>
    </xf>
    <xf numFmtId="0" fontId="19" fillId="13" borderId="12" xfId="0" applyFont="1" applyFill="1" applyBorder="1"/>
    <xf numFmtId="0" fontId="19" fillId="13" borderId="17" xfId="0" applyFont="1" applyFill="1" applyBorder="1"/>
    <xf numFmtId="0" fontId="19" fillId="13" borderId="14" xfId="0" applyFont="1" applyFill="1" applyBorder="1"/>
    <xf numFmtId="0" fontId="19" fillId="13" borderId="0" xfId="0" applyFont="1" applyFill="1"/>
    <xf numFmtId="164" fontId="3" fillId="8" borderId="43" xfId="0" applyNumberFormat="1" applyFont="1" applyFill="1" applyBorder="1" applyAlignment="1">
      <alignment horizontal="center" vertical="center"/>
    </xf>
    <xf numFmtId="164" fontId="3" fillId="8" borderId="44" xfId="0" applyNumberFormat="1" applyFont="1" applyFill="1" applyBorder="1" applyAlignment="1">
      <alignment horizontal="center" vertical="center"/>
    </xf>
    <xf numFmtId="164" fontId="3" fillId="8" borderId="46" xfId="0" applyNumberFormat="1" applyFont="1" applyFill="1" applyBorder="1" applyAlignment="1">
      <alignment horizontal="center" vertical="center"/>
    </xf>
    <xf numFmtId="164" fontId="3" fillId="8" borderId="49" xfId="0" applyNumberFormat="1" applyFont="1" applyFill="1" applyBorder="1" applyAlignment="1">
      <alignment horizontal="center" vertical="center"/>
    </xf>
    <xf numFmtId="0" fontId="0" fillId="8" borderId="50" xfId="0" applyFill="1" applyBorder="1"/>
    <xf numFmtId="0" fontId="0" fillId="8" borderId="51" xfId="0" applyFill="1" applyBorder="1"/>
    <xf numFmtId="0" fontId="14" fillId="8" borderId="52" xfId="0" applyFont="1" applyFill="1" applyBorder="1"/>
    <xf numFmtId="0" fontId="0" fillId="8" borderId="53" xfId="0" applyFill="1" applyBorder="1"/>
    <xf numFmtId="0" fontId="14" fillId="8" borderId="54" xfId="0" applyFont="1" applyFill="1" applyBorder="1"/>
    <xf numFmtId="0" fontId="15" fillId="8" borderId="54" xfId="0" applyFont="1" applyFill="1" applyBorder="1"/>
    <xf numFmtId="0" fontId="0" fillId="8" borderId="55" xfId="0" applyFill="1" applyBorder="1"/>
    <xf numFmtId="0" fontId="0" fillId="8" borderId="56" xfId="0" applyFill="1" applyBorder="1"/>
    <xf numFmtId="0" fontId="14" fillId="8" borderId="57" xfId="0" applyFont="1" applyFill="1" applyBorder="1"/>
    <xf numFmtId="164" fontId="3" fillId="3" borderId="33" xfId="0" applyNumberFormat="1" applyFont="1" applyFill="1" applyBorder="1" applyAlignment="1">
      <alignment horizontal="center" vertical="center"/>
    </xf>
    <xf numFmtId="164" fontId="3" fillId="3" borderId="37" xfId="0" applyNumberFormat="1" applyFont="1" applyFill="1" applyBorder="1" applyAlignment="1">
      <alignment horizontal="center" vertical="center"/>
    </xf>
    <xf numFmtId="0" fontId="9" fillId="8" borderId="53" xfId="0" applyFont="1" applyFill="1" applyBorder="1" applyAlignment="1">
      <alignment horizontal="center"/>
    </xf>
    <xf numFmtId="0" fontId="9" fillId="8" borderId="54" xfId="0" applyFont="1" applyFill="1" applyBorder="1" applyAlignment="1">
      <alignment horizontal="center"/>
    </xf>
    <xf numFmtId="0" fontId="0" fillId="8" borderId="54" xfId="0" applyFill="1" applyBorder="1"/>
    <xf numFmtId="0" fontId="10" fillId="8" borderId="32" xfId="0" applyFont="1" applyFill="1" applyBorder="1" applyAlignment="1">
      <alignment vertical="center"/>
    </xf>
    <xf numFmtId="0" fontId="10" fillId="8" borderId="34" xfId="0" applyFont="1" applyFill="1" applyBorder="1" applyAlignment="1">
      <alignment vertical="center"/>
    </xf>
    <xf numFmtId="0" fontId="0" fillId="3" borderId="50" xfId="0" applyFill="1" applyBorder="1"/>
    <xf numFmtId="0" fontId="0" fillId="3" borderId="51" xfId="0" applyFill="1" applyBorder="1"/>
    <xf numFmtId="0" fontId="14" fillId="3" borderId="52" xfId="0" applyFont="1" applyFill="1" applyBorder="1"/>
    <xf numFmtId="0" fontId="0" fillId="3" borderId="53" xfId="0" applyFill="1" applyBorder="1"/>
    <xf numFmtId="0" fontId="14" fillId="3" borderId="54" xfId="0" applyFont="1" applyFill="1" applyBorder="1"/>
    <xf numFmtId="0" fontId="0" fillId="3" borderId="55" xfId="0" applyFill="1" applyBorder="1"/>
    <xf numFmtId="0" fontId="0" fillId="3" borderId="56" xfId="0" applyFill="1" applyBorder="1"/>
    <xf numFmtId="0" fontId="14" fillId="3" borderId="57" xfId="0" applyFont="1" applyFill="1" applyBorder="1"/>
    <xf numFmtId="164" fontId="8" fillId="12" borderId="0" xfId="0" applyNumberFormat="1" applyFont="1" applyFill="1" applyBorder="1" applyAlignment="1">
      <alignment horizontal="center" vertical="center"/>
    </xf>
    <xf numFmtId="0" fontId="8" fillId="14" borderId="0" xfId="0" applyFont="1" applyFill="1" applyBorder="1" applyAlignment="1">
      <alignment horizontal="center" vertical="center"/>
    </xf>
    <xf numFmtId="164" fontId="21" fillId="14" borderId="0" xfId="0" applyNumberFormat="1" applyFont="1" applyFill="1" applyBorder="1" applyAlignment="1">
      <alignment horizontal="center" vertical="center"/>
    </xf>
    <xf numFmtId="0" fontId="22" fillId="0" borderId="0" xfId="0" applyFont="1"/>
    <xf numFmtId="0" fontId="23" fillId="13" borderId="0" xfId="0" applyFont="1" applyFill="1"/>
    <xf numFmtId="0" fontId="1" fillId="4" borderId="2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8" borderId="41" xfId="0" applyFont="1" applyFill="1" applyBorder="1" applyAlignment="1">
      <alignment horizontal="center" vertical="center"/>
    </xf>
    <xf numFmtId="0" fontId="25" fillId="8" borderId="7" xfId="0" applyFont="1" applyFill="1" applyBorder="1" applyAlignment="1">
      <alignment horizontal="center" vertical="center"/>
    </xf>
    <xf numFmtId="0" fontId="25" fillId="8" borderId="42" xfId="0" applyFont="1" applyFill="1" applyBorder="1" applyAlignment="1">
      <alignment horizontal="center" vertical="center"/>
    </xf>
    <xf numFmtId="164" fontId="29" fillId="2" borderId="27" xfId="0" applyNumberFormat="1" applyFont="1" applyFill="1" applyBorder="1" applyAlignment="1" applyProtection="1">
      <alignment horizontal="center" vertical="center"/>
      <protection locked="0"/>
    </xf>
    <xf numFmtId="0" fontId="25" fillId="8" borderId="45" xfId="0" applyFont="1" applyFill="1" applyBorder="1" applyAlignment="1">
      <alignment horizontal="center" vertical="center"/>
    </xf>
    <xf numFmtId="0" fontId="25" fillId="8" borderId="47" xfId="0" applyFont="1" applyFill="1" applyBorder="1" applyAlignment="1">
      <alignment horizontal="center" vertical="center"/>
    </xf>
    <xf numFmtId="0" fontId="25" fillId="8" borderId="26" xfId="0" applyFont="1" applyFill="1" applyBorder="1" applyAlignment="1">
      <alignment horizontal="center" vertical="center"/>
    </xf>
    <xf numFmtId="0" fontId="25" fillId="8" borderId="48" xfId="0" applyFont="1" applyFill="1" applyBorder="1" applyAlignment="1">
      <alignment horizontal="center" vertical="center"/>
    </xf>
    <xf numFmtId="164" fontId="25" fillId="8" borderId="46" xfId="0" applyNumberFormat="1" applyFont="1" applyFill="1" applyBorder="1" applyAlignment="1">
      <alignment horizontal="center" vertical="center"/>
    </xf>
    <xf numFmtId="164" fontId="25" fillId="8" borderId="25" xfId="0" applyNumberFormat="1" applyFont="1" applyFill="1" applyBorder="1" applyAlignment="1">
      <alignment horizontal="center" vertical="center"/>
    </xf>
    <xf numFmtId="164" fontId="25" fillId="8" borderId="49" xfId="0" applyNumberFormat="1" applyFont="1" applyFill="1" applyBorder="1" applyAlignment="1">
      <alignment horizontal="center" vertical="center"/>
    </xf>
    <xf numFmtId="0" fontId="25" fillId="8" borderId="2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16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30" fillId="15" borderId="63" xfId="1" applyFont="1" applyFill="1" applyBorder="1" applyAlignment="1">
      <alignment horizontal="center"/>
    </xf>
    <xf numFmtId="0" fontId="6" fillId="15" borderId="64" xfId="0" applyFont="1" applyFill="1" applyBorder="1" applyAlignment="1">
      <alignment horizontal="center"/>
    </xf>
    <xf numFmtId="0" fontId="6" fillId="15" borderId="6" xfId="0" applyFont="1" applyFill="1" applyBorder="1" applyAlignment="1">
      <alignment horizontal="center"/>
    </xf>
    <xf numFmtId="0" fontId="30" fillId="6" borderId="63" xfId="1" applyFont="1" applyFill="1" applyBorder="1" applyAlignment="1">
      <alignment horizontal="center"/>
    </xf>
    <xf numFmtId="0" fontId="6" fillId="6" borderId="64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0" fillId="8" borderId="38" xfId="0" applyFont="1" applyFill="1" applyBorder="1" applyAlignment="1">
      <alignment horizontal="center" vertical="top" wrapText="1"/>
    </xf>
    <xf numFmtId="0" fontId="20" fillId="8" borderId="39" xfId="0" applyFont="1" applyFill="1" applyBorder="1" applyAlignment="1">
      <alignment horizontal="center" vertical="top" wrapText="1"/>
    </xf>
    <xf numFmtId="0" fontId="20" fillId="8" borderId="40" xfId="0" applyFont="1" applyFill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4" fillId="8" borderId="12" xfId="0" applyFont="1" applyFill="1" applyBorder="1" applyAlignment="1">
      <alignment horizontal="right" vertical="center"/>
    </xf>
    <xf numFmtId="0" fontId="4" fillId="8" borderId="14" xfId="0" applyFont="1" applyFill="1" applyBorder="1" applyAlignment="1">
      <alignment horizontal="right" vertical="center"/>
    </xf>
    <xf numFmtId="164" fontId="10" fillId="8" borderId="11" xfId="0" applyNumberFormat="1" applyFont="1" applyFill="1" applyBorder="1" applyAlignment="1">
      <alignment horizontal="left" vertical="center"/>
    </xf>
    <xf numFmtId="164" fontId="10" fillId="8" borderId="32" xfId="0" applyNumberFormat="1" applyFont="1" applyFill="1" applyBorder="1" applyAlignment="1">
      <alignment horizontal="left" vertical="center"/>
    </xf>
    <xf numFmtId="164" fontId="10" fillId="8" borderId="13" xfId="0" applyNumberFormat="1" applyFont="1" applyFill="1" applyBorder="1" applyAlignment="1">
      <alignment horizontal="left" vertical="center"/>
    </xf>
    <xf numFmtId="164" fontId="10" fillId="8" borderId="34" xfId="0" applyNumberFormat="1" applyFont="1" applyFill="1" applyBorder="1" applyAlignment="1">
      <alignment horizontal="left" vertical="center"/>
    </xf>
    <xf numFmtId="164" fontId="10" fillId="8" borderId="12" xfId="0" applyNumberFormat="1" applyFont="1" applyFill="1" applyBorder="1" applyAlignment="1">
      <alignment horizontal="center" vertical="center"/>
    </xf>
    <xf numFmtId="164" fontId="10" fillId="8" borderId="17" xfId="0" applyNumberFormat="1" applyFont="1" applyFill="1" applyBorder="1" applyAlignment="1">
      <alignment horizontal="center" vertical="center"/>
    </xf>
    <xf numFmtId="164" fontId="10" fillId="8" borderId="14" xfId="0" applyNumberFormat="1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horizontal="center" vertical="center"/>
    </xf>
    <xf numFmtId="0" fontId="13" fillId="8" borderId="20" xfId="0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horizontal="center" vertical="center"/>
    </xf>
    <xf numFmtId="164" fontId="4" fillId="8" borderId="35" xfId="0" applyNumberFormat="1" applyFont="1" applyFill="1" applyBorder="1" applyAlignment="1">
      <alignment horizontal="center" vertical="center"/>
    </xf>
    <xf numFmtId="164" fontId="4" fillId="8" borderId="36" xfId="0" applyNumberFormat="1" applyFont="1" applyFill="1" applyBorder="1" applyAlignment="1">
      <alignment horizontal="center" vertical="center"/>
    </xf>
    <xf numFmtId="164" fontId="4" fillId="8" borderId="37" xfId="0" applyNumberFormat="1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54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26" fillId="8" borderId="61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26" fillId="8" borderId="62" xfId="0" applyFont="1" applyFill="1" applyBorder="1" applyAlignment="1">
      <alignment horizontal="center" vertical="center" wrapText="1"/>
    </xf>
    <xf numFmtId="0" fontId="26" fillId="8" borderId="2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5" borderId="6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59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9" borderId="58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4" fillId="10" borderId="58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10" borderId="59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164" fontId="10" fillId="3" borderId="22" xfId="0" applyNumberFormat="1" applyFont="1" applyFill="1" applyBorder="1" applyAlignment="1">
      <alignment horizontal="center" vertical="center"/>
    </xf>
    <xf numFmtId="0" fontId="3" fillId="10" borderId="58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10" borderId="59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/>
    </xf>
    <xf numFmtId="0" fontId="5" fillId="9" borderId="59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10" fillId="3" borderId="6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31" fillId="0" borderId="0" xfId="0" applyFont="1"/>
    <xf numFmtId="164" fontId="2" fillId="0" borderId="0" xfId="0" applyNumberFormat="1" applyFont="1"/>
  </cellXfs>
  <cellStyles count="2">
    <cellStyle name="Köprü" xfId="1" builtinId="8"/>
    <cellStyle name="Normal" xfId="0" builtinId="0"/>
  </cellStyles>
  <dxfs count="40">
    <dxf>
      <font>
        <color rgb="FF006100"/>
      </font>
      <fill>
        <patternFill>
          <bgColor rgb="FF00B05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FF0000"/>
      </font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FF0000"/>
      </font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auto="1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B$1" fmlaRange="$Q$5:$Q$12" sel="5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14</xdr:col>
      <xdr:colOff>495300</xdr:colOff>
      <xdr:row>21</xdr:row>
      <xdr:rowOff>133350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675"/>
          <a:ext cx="9010650" cy="421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22</xdr:row>
      <xdr:rowOff>161926</xdr:rowOff>
    </xdr:from>
    <xdr:to>
      <xdr:col>14</xdr:col>
      <xdr:colOff>421888</xdr:colOff>
      <xdr:row>38</xdr:row>
      <xdr:rowOff>47626</xdr:rowOff>
    </xdr:to>
    <xdr:pic>
      <xdr:nvPicPr>
        <xdr:cNvPr id="3" name="Resi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352926"/>
          <a:ext cx="8822938" cy="293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2</xdr:col>
          <xdr:colOff>219075</xdr:colOff>
          <xdr:row>4</xdr:row>
          <xdr:rowOff>257175</xdr:rowOff>
        </xdr:to>
        <xdr:sp macro="" textlink="">
          <xdr:nvSpPr>
            <xdr:cNvPr id="1028" name="Drop Down 4" descr="&#10;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yasin.engin@gmail.com" TargetMode="External"/><Relationship Id="rId1" Type="http://schemas.openxmlformats.org/officeDocument/2006/relationships/hyperlink" Target="http://www.betonvecimento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P2:Z9"/>
  <sheetViews>
    <sheetView showGridLines="0" workbookViewId="0">
      <selection activeCell="V17" sqref="V17"/>
    </sheetView>
  </sheetViews>
  <sheetFormatPr defaultRowHeight="15" x14ac:dyDescent="0.25"/>
  <cols>
    <col min="16" max="26" width="5" customWidth="1"/>
  </cols>
  <sheetData>
    <row r="2" spans="16:26" ht="15.75" thickBot="1" x14ac:dyDescent="0.3"/>
    <row r="3" spans="16:26" ht="15" customHeight="1" x14ac:dyDescent="0.25">
      <c r="P3" s="91" t="s">
        <v>50</v>
      </c>
      <c r="Q3" s="92"/>
      <c r="R3" s="92"/>
      <c r="S3" s="92"/>
      <c r="T3" s="92"/>
      <c r="U3" s="92"/>
      <c r="V3" s="92"/>
      <c r="W3" s="92"/>
      <c r="X3" s="92"/>
      <c r="Y3" s="92"/>
      <c r="Z3" s="93"/>
    </row>
    <row r="4" spans="16:26" ht="15" customHeight="1" x14ac:dyDescent="0.25">
      <c r="P4" s="94"/>
      <c r="Q4" s="95"/>
      <c r="R4" s="95"/>
      <c r="S4" s="95"/>
      <c r="T4" s="95"/>
      <c r="U4" s="95"/>
      <c r="V4" s="95"/>
      <c r="W4" s="95"/>
      <c r="X4" s="95"/>
      <c r="Y4" s="95"/>
      <c r="Z4" s="96"/>
    </row>
    <row r="5" spans="16:26" ht="15.75" customHeight="1" thickBot="1" x14ac:dyDescent="0.3">
      <c r="P5" s="97"/>
      <c r="Q5" s="98"/>
      <c r="R5" s="98"/>
      <c r="S5" s="98"/>
      <c r="T5" s="98"/>
      <c r="U5" s="98"/>
      <c r="V5" s="98"/>
      <c r="W5" s="98"/>
      <c r="X5" s="98"/>
      <c r="Y5" s="98"/>
      <c r="Z5" s="99"/>
    </row>
    <row r="6" spans="16:26" ht="15.75" thickBot="1" x14ac:dyDescent="0.3"/>
    <row r="7" spans="16:26" ht="19.5" thickBot="1" x14ac:dyDescent="0.35">
      <c r="P7" s="100" t="s">
        <v>51</v>
      </c>
      <c r="Q7" s="101"/>
      <c r="R7" s="101"/>
      <c r="S7" s="101"/>
      <c r="T7" s="101"/>
      <c r="U7" s="101"/>
      <c r="V7" s="101"/>
      <c r="W7" s="101"/>
      <c r="X7" s="101"/>
      <c r="Y7" s="101"/>
      <c r="Z7" s="102"/>
    </row>
    <row r="8" spans="16:26" ht="15.75" thickBot="1" x14ac:dyDescent="0.3"/>
    <row r="9" spans="16:26" ht="19.5" thickBot="1" x14ac:dyDescent="0.35">
      <c r="P9" s="103" t="s">
        <v>52</v>
      </c>
      <c r="Q9" s="104"/>
      <c r="R9" s="104"/>
      <c r="S9" s="104"/>
      <c r="T9" s="104"/>
      <c r="U9" s="104"/>
      <c r="V9" s="104"/>
      <c r="W9" s="104"/>
      <c r="X9" s="104"/>
      <c r="Y9" s="104"/>
      <c r="Z9" s="105"/>
    </row>
  </sheetData>
  <sheetProtection algorithmName="SHA-512" hashValue="5k31WKdA60PX1PWaWaUq0+1WzSb8IpVQn134LHI4nHd5rIOTwzI+g9zpOp01uRDgckcwOAbYgZ55f6JAmlUUUg==" saltValue="JeWInPW6451x8k4Ifp4zNw==" spinCount="100000" sheet="1" objects="1" scenarios="1"/>
  <mergeCells count="3">
    <mergeCell ref="P3:Z5"/>
    <mergeCell ref="P7:Z7"/>
    <mergeCell ref="P9:Z9"/>
  </mergeCells>
  <hyperlinks>
    <hyperlink ref="P7" r:id="rId1"/>
    <hyperlink ref="P9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70C0"/>
  </sheetPr>
  <dimension ref="A1:AG31"/>
  <sheetViews>
    <sheetView showGridLines="0" tabSelected="1" topLeftCell="A2" zoomScaleNormal="100" workbookViewId="0">
      <selection activeCell="Y2" sqref="Y1:AL1048576"/>
    </sheetView>
  </sheetViews>
  <sheetFormatPr defaultRowHeight="15" x14ac:dyDescent="0.25"/>
  <cols>
    <col min="1" max="1" width="3.140625" customWidth="1"/>
    <col min="2" max="2" width="14.7109375" customWidth="1"/>
    <col min="3" max="4" width="14" customWidth="1"/>
    <col min="5" max="5" width="14.7109375" customWidth="1"/>
    <col min="6" max="11" width="14" customWidth="1"/>
    <col min="12" max="12" width="2.7109375" customWidth="1"/>
    <col min="17" max="17" width="2.28515625" style="9" customWidth="1"/>
    <col min="18" max="18" width="3.28515625" style="18" customWidth="1"/>
    <col min="19" max="21" width="9.140625" style="5"/>
    <col min="22" max="24" width="9.140625" style="5" customWidth="1"/>
    <col min="25" max="32" width="9.140625" style="5" hidden="1" customWidth="1"/>
    <col min="33" max="33" width="0" style="5" hidden="1" customWidth="1"/>
    <col min="34" max="38" width="0" hidden="1" customWidth="1"/>
  </cols>
  <sheetData>
    <row r="1" spans="1:32" ht="10.5" hidden="1" customHeight="1" x14ac:dyDescent="0.25">
      <c r="B1" s="24">
        <v>5</v>
      </c>
    </row>
    <row r="2" spans="1:32" ht="4.5" customHeight="1" x14ac:dyDescent="0.25">
      <c r="A2" s="19"/>
      <c r="B2" s="20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1"/>
      <c r="R2" s="19"/>
    </row>
    <row r="3" spans="1:32" ht="4.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1"/>
      <c r="R3" s="19"/>
    </row>
    <row r="4" spans="1:32" ht="4.5" customHeight="1" thickBot="1" x14ac:dyDescent="0.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 t="str">
        <f>IF(L10=1,B18,IF(L10=2,B19,IF(L10=3,B19,IF(L10=4,B19,IF(L10=5,B20,IF(L10=6,B20,IF(L10=7,B20,IF(L10=8,B20,IF(L10=9,B20)))))))))</f>
        <v xml:space="preserve">     n = 5-6 ise fcm ≥fck + 2</v>
      </c>
      <c r="N4" s="19"/>
      <c r="O4" s="19"/>
      <c r="P4" s="19"/>
      <c r="Q4" s="21"/>
      <c r="R4" s="19"/>
      <c r="S4" s="72"/>
    </row>
    <row r="5" spans="1:32" ht="21" customHeight="1" thickBot="1" x14ac:dyDescent="0.35">
      <c r="A5" s="16"/>
      <c r="C5" s="148" t="s">
        <v>1</v>
      </c>
      <c r="D5" s="149"/>
      <c r="E5" s="149"/>
      <c r="F5" s="149"/>
      <c r="G5" s="149"/>
      <c r="H5" s="149"/>
      <c r="I5" s="149"/>
      <c r="J5" s="149"/>
      <c r="K5" s="150"/>
      <c r="L5" s="19"/>
      <c r="M5" s="26" t="s">
        <v>37</v>
      </c>
      <c r="N5" s="27"/>
      <c r="O5" s="27"/>
      <c r="P5" s="28"/>
      <c r="Q5" s="37" t="s">
        <v>14</v>
      </c>
      <c r="R5" s="22">
        <f>G15</f>
        <v>38.200000000000003</v>
      </c>
      <c r="S5" s="5" t="s">
        <v>19</v>
      </c>
    </row>
    <row r="6" spans="1:32" ht="17.25" customHeight="1" thickBot="1" x14ac:dyDescent="0.3">
      <c r="A6" s="16"/>
      <c r="B6" s="74" t="s">
        <v>0</v>
      </c>
      <c r="C6" s="78" t="s">
        <v>27</v>
      </c>
      <c r="D6" s="78" t="s">
        <v>28</v>
      </c>
      <c r="E6" s="78" t="s">
        <v>29</v>
      </c>
      <c r="F6" s="78" t="s">
        <v>30</v>
      </c>
      <c r="G6" s="78" t="s">
        <v>31</v>
      </c>
      <c r="H6" s="78" t="s">
        <v>32</v>
      </c>
      <c r="I6" s="78" t="s">
        <v>33</v>
      </c>
      <c r="J6" s="78" t="s">
        <v>34</v>
      </c>
      <c r="K6" s="78" t="s">
        <v>35</v>
      </c>
      <c r="L6" s="19"/>
      <c r="M6" s="29" t="s">
        <v>36</v>
      </c>
      <c r="N6" s="30"/>
      <c r="O6" s="30"/>
      <c r="P6" s="31"/>
      <c r="Q6" s="38" t="s">
        <v>8</v>
      </c>
      <c r="R6" s="19" t="str">
        <f>IF(B1=2,25,"")</f>
        <v/>
      </c>
      <c r="S6" s="5">
        <v>25</v>
      </c>
    </row>
    <row r="7" spans="1:32" ht="18.75" customHeight="1" thickBot="1" x14ac:dyDescent="0.3">
      <c r="A7" s="16"/>
      <c r="B7" s="75">
        <v>1</v>
      </c>
      <c r="C7" s="82">
        <v>37</v>
      </c>
      <c r="D7" s="82">
        <v>40</v>
      </c>
      <c r="E7" s="82">
        <v>38</v>
      </c>
      <c r="F7" s="82">
        <v>40</v>
      </c>
      <c r="G7" s="82">
        <v>38</v>
      </c>
      <c r="H7" s="82"/>
      <c r="I7" s="82"/>
      <c r="J7" s="82"/>
      <c r="K7" s="82"/>
      <c r="L7" s="19"/>
      <c r="M7" s="32" t="s">
        <v>38</v>
      </c>
      <c r="N7" s="33"/>
      <c r="O7" s="33"/>
      <c r="P7" s="34"/>
      <c r="Q7" s="39" t="s">
        <v>9</v>
      </c>
      <c r="R7" s="19" t="str">
        <f>IF(B1=3,30,"")</f>
        <v/>
      </c>
      <c r="S7" s="5">
        <v>30</v>
      </c>
      <c r="W7" s="195" t="s">
        <v>21</v>
      </c>
      <c r="X7" s="196">
        <f>AVERAGE(C7:C9)</f>
        <v>38</v>
      </c>
      <c r="Y7" s="196">
        <f t="shared" ref="Y7:AF7" si="0">AVERAGE(D7:D9)</f>
        <v>39.5</v>
      </c>
      <c r="Z7" s="196">
        <f t="shared" si="0"/>
        <v>37</v>
      </c>
      <c r="AA7" s="196">
        <f t="shared" si="0"/>
        <v>39.5</v>
      </c>
      <c r="AB7" s="196">
        <f t="shared" si="0"/>
        <v>37</v>
      </c>
      <c r="AC7" s="196" t="e">
        <f t="shared" si="0"/>
        <v>#DIV/0!</v>
      </c>
      <c r="AD7" s="196" t="e">
        <f t="shared" si="0"/>
        <v>#DIV/0!</v>
      </c>
      <c r="AE7" s="196" t="e">
        <f t="shared" si="0"/>
        <v>#DIV/0!</v>
      </c>
      <c r="AF7" s="196" t="e">
        <f t="shared" si="0"/>
        <v>#DIV/0!</v>
      </c>
    </row>
    <row r="8" spans="1:32" ht="21" customHeight="1" x14ac:dyDescent="0.25">
      <c r="A8" s="16"/>
      <c r="B8" s="76">
        <v>2</v>
      </c>
      <c r="C8" s="82">
        <v>39</v>
      </c>
      <c r="D8" s="82">
        <v>39</v>
      </c>
      <c r="E8" s="82">
        <v>36</v>
      </c>
      <c r="F8" s="82">
        <v>39</v>
      </c>
      <c r="G8" s="82">
        <v>36</v>
      </c>
      <c r="H8" s="82"/>
      <c r="I8" s="82"/>
      <c r="J8" s="82"/>
      <c r="K8" s="82"/>
      <c r="L8" s="19"/>
      <c r="M8" s="30" t="s">
        <v>22</v>
      </c>
      <c r="N8" s="35"/>
      <c r="O8" s="35"/>
      <c r="P8" s="35"/>
      <c r="Q8" s="40" t="s">
        <v>10</v>
      </c>
      <c r="R8" s="19" t="str">
        <f>IF(B1=4,37,"")</f>
        <v/>
      </c>
      <c r="S8" s="5">
        <v>37</v>
      </c>
      <c r="X8" s="196">
        <f>MAX(C7:C9)-MIN(C7:C9)</f>
        <v>2</v>
      </c>
      <c r="Y8" s="196">
        <f t="shared" ref="Y8:AF8" si="1">MAX(D7:D9)-MIN(D7:D9)</f>
        <v>1</v>
      </c>
      <c r="Z8" s="196">
        <f t="shared" si="1"/>
        <v>2</v>
      </c>
      <c r="AA8" s="196">
        <f t="shared" si="1"/>
        <v>1</v>
      </c>
      <c r="AB8" s="196">
        <f t="shared" si="1"/>
        <v>2</v>
      </c>
      <c r="AC8" s="196">
        <f t="shared" si="1"/>
        <v>0</v>
      </c>
      <c r="AD8" s="196">
        <f t="shared" si="1"/>
        <v>0</v>
      </c>
      <c r="AE8" s="196">
        <f t="shared" si="1"/>
        <v>0</v>
      </c>
      <c r="AF8" s="196">
        <f t="shared" si="1"/>
        <v>0</v>
      </c>
    </row>
    <row r="9" spans="1:32" ht="18.75" customHeight="1" thickBot="1" x14ac:dyDescent="0.3">
      <c r="A9" s="16"/>
      <c r="B9" s="77">
        <v>3</v>
      </c>
      <c r="C9" s="82"/>
      <c r="D9" s="82"/>
      <c r="E9" s="82"/>
      <c r="F9" s="82"/>
      <c r="G9" s="82"/>
      <c r="H9" s="82"/>
      <c r="I9" s="82"/>
      <c r="J9" s="82"/>
      <c r="K9" s="82"/>
      <c r="L9" s="19"/>
      <c r="M9" s="30" t="s">
        <v>23</v>
      </c>
      <c r="N9" s="35"/>
      <c r="O9" s="35"/>
      <c r="P9" s="35"/>
      <c r="Q9" s="40" t="s">
        <v>11</v>
      </c>
      <c r="R9" s="19">
        <f>IF(B1=5,45,"")</f>
        <v>45</v>
      </c>
      <c r="S9" s="5">
        <v>45</v>
      </c>
      <c r="X9" s="5">
        <f>0.15*X7</f>
        <v>5.7</v>
      </c>
      <c r="Y9" s="5">
        <f t="shared" ref="Y9:AE9" si="2">0.15*Y7</f>
        <v>5.9249999999999998</v>
      </c>
      <c r="Z9" s="5">
        <f t="shared" si="2"/>
        <v>5.55</v>
      </c>
      <c r="AA9" s="5">
        <f t="shared" si="2"/>
        <v>5.9249999999999998</v>
      </c>
      <c r="AB9" s="5">
        <f t="shared" si="2"/>
        <v>5.55</v>
      </c>
      <c r="AC9" s="5" t="e">
        <f t="shared" si="2"/>
        <v>#DIV/0!</v>
      </c>
      <c r="AD9" s="5" t="e">
        <f t="shared" si="2"/>
        <v>#DIV/0!</v>
      </c>
      <c r="AE9" s="5" t="e">
        <f t="shared" si="2"/>
        <v>#DIV/0!</v>
      </c>
      <c r="AF9" s="5" t="e">
        <f t="shared" ref="AF9" si="3">0.15*AF7</f>
        <v>#DIV/0!</v>
      </c>
    </row>
    <row r="10" spans="1:32" ht="25.5" customHeight="1" thickBot="1" x14ac:dyDescent="0.3">
      <c r="A10" s="16"/>
      <c r="B10" s="3" t="s">
        <v>45</v>
      </c>
      <c r="C10" s="1">
        <f t="shared" ref="C10" si="4">IF(ISERROR(AVERAGE(C7:C9)),"",(AVERAGE(C7:C9)))</f>
        <v>38</v>
      </c>
      <c r="D10" s="2">
        <f t="shared" ref="D10" si="5">IF(ISERROR(AVERAGE(D7:D9)),"",(AVERAGE(D7:D9)))</f>
        <v>39.5</v>
      </c>
      <c r="E10" s="2">
        <f t="shared" ref="E10" si="6">IF(ISERROR(AVERAGE(E7:E9)),"",(AVERAGE(E7:E9)))</f>
        <v>37</v>
      </c>
      <c r="F10" s="2">
        <f t="shared" ref="F10" si="7">IF(ISERROR(AVERAGE(F7:F9)),"",(AVERAGE(F7:F9)))</f>
        <v>39.5</v>
      </c>
      <c r="G10" s="2">
        <f t="shared" ref="G10" si="8">IF(ISERROR(AVERAGE(G7:G9)),"",(AVERAGE(G7:G9)))</f>
        <v>37</v>
      </c>
      <c r="H10" s="2" t="str">
        <f t="shared" ref="H10" si="9">IF(ISERROR(AVERAGE(H7:H9)),"",(AVERAGE(H7:H9)))</f>
        <v/>
      </c>
      <c r="I10" s="2" t="str">
        <f t="shared" ref="I10" si="10">IF(ISERROR(AVERAGE(I7:I9)),"",(AVERAGE(I7:I9)))</f>
        <v/>
      </c>
      <c r="J10" s="2" t="str">
        <f t="shared" ref="J10" si="11">IF(ISERROR(AVERAGE(J7:J9)),"",(AVERAGE(J7:J9)))</f>
        <v/>
      </c>
      <c r="K10" s="2" t="str">
        <f t="shared" ref="K10" si="12">IF(ISERROR(AVERAGE(K7:K9)),"",(AVERAGE(K7:K9)))</f>
        <v/>
      </c>
      <c r="L10" s="23">
        <f>COUNTIF(C10:K10,"&gt;0")</f>
        <v>5</v>
      </c>
      <c r="M10" s="36" t="s">
        <v>24</v>
      </c>
      <c r="N10" s="35"/>
      <c r="O10" s="35"/>
      <c r="P10" s="35"/>
      <c r="Q10" s="40" t="s">
        <v>15</v>
      </c>
      <c r="R10" s="19" t="str">
        <f>IF(B1=6,45,"")</f>
        <v/>
      </c>
      <c r="S10" s="5">
        <v>50</v>
      </c>
      <c r="X10" s="5" t="str">
        <f>IF(X9-X8&gt;=0,"+","-")</f>
        <v>+</v>
      </c>
      <c r="Y10" s="5" t="str">
        <f t="shared" ref="Y10:AD10" si="13">IF(Y9-Y8&gt;=0,"+","-")</f>
        <v>+</v>
      </c>
      <c r="Z10" s="5" t="str">
        <f t="shared" si="13"/>
        <v>+</v>
      </c>
      <c r="AA10" s="5" t="str">
        <f t="shared" si="13"/>
        <v>+</v>
      </c>
      <c r="AB10" s="5" t="str">
        <f t="shared" si="13"/>
        <v>+</v>
      </c>
      <c r="AC10" s="5" t="e">
        <f t="shared" si="13"/>
        <v>#DIV/0!</v>
      </c>
      <c r="AD10" s="5" t="e">
        <f t="shared" si="13"/>
        <v>#DIV/0!</v>
      </c>
      <c r="AE10" s="5" t="e">
        <f t="shared" ref="AE10:AF10" si="14">IF(AE9-AE8&gt;=0,"+","-")</f>
        <v>#DIV/0!</v>
      </c>
      <c r="AF10" s="5" t="e">
        <f t="shared" si="14"/>
        <v>#DIV/0!</v>
      </c>
    </row>
    <row r="11" spans="1:32" ht="2.25" customHeight="1" x14ac:dyDescent="0.25">
      <c r="A11" s="16"/>
      <c r="B11" s="70"/>
      <c r="C11" s="71" t="str">
        <f>X10</f>
        <v>+</v>
      </c>
      <c r="D11" s="71" t="str">
        <f t="shared" ref="D11:K11" si="15">Y10</f>
        <v>+</v>
      </c>
      <c r="E11" s="71" t="str">
        <f t="shared" si="15"/>
        <v>+</v>
      </c>
      <c r="F11" s="71" t="str">
        <f t="shared" si="15"/>
        <v>+</v>
      </c>
      <c r="G11" s="71" t="str">
        <f t="shared" si="15"/>
        <v>+</v>
      </c>
      <c r="H11" s="71" t="e">
        <f t="shared" si="15"/>
        <v>#DIV/0!</v>
      </c>
      <c r="I11" s="71" t="e">
        <f t="shared" si="15"/>
        <v>#DIV/0!</v>
      </c>
      <c r="J11" s="71" t="e">
        <f t="shared" si="15"/>
        <v>#DIV/0!</v>
      </c>
      <c r="K11" s="71" t="e">
        <f t="shared" si="15"/>
        <v>#DIV/0!</v>
      </c>
      <c r="L11" s="69"/>
      <c r="M11" s="36"/>
      <c r="N11" s="35"/>
      <c r="O11" s="35"/>
      <c r="P11" s="35"/>
      <c r="Q11" s="73" t="s">
        <v>12</v>
      </c>
      <c r="R11" s="19"/>
      <c r="S11" s="5">
        <v>55</v>
      </c>
    </row>
    <row r="12" spans="1:32" ht="12" customHeight="1" thickBot="1" x14ac:dyDescent="0.3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21" t="s">
        <v>44</v>
      </c>
      <c r="R12" s="19" t="str">
        <f>IF(B1=7,55,"")</f>
        <v/>
      </c>
      <c r="S12" s="5">
        <v>60</v>
      </c>
    </row>
    <row r="13" spans="1:32" ht="15.75" hidden="1" thickBot="1" x14ac:dyDescent="0.3">
      <c r="A13" s="16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 t="s">
        <v>13</v>
      </c>
      <c r="R13" s="19" t="str">
        <f>IF(B1=8,60,"")</f>
        <v/>
      </c>
      <c r="S13" s="5">
        <v>60</v>
      </c>
    </row>
    <row r="14" spans="1:32" ht="27" customHeight="1" thickTop="1" thickBot="1" x14ac:dyDescent="0.3">
      <c r="A14" s="16"/>
      <c r="B14" s="151" t="s">
        <v>2</v>
      </c>
      <c r="C14" s="152"/>
      <c r="D14" s="152"/>
      <c r="E14" s="153"/>
      <c r="F14" s="159" t="s">
        <v>7</v>
      </c>
      <c r="G14" s="159"/>
      <c r="H14" s="160"/>
      <c r="I14" s="158" t="s">
        <v>17</v>
      </c>
      <c r="J14" s="159"/>
      <c r="K14" s="160"/>
      <c r="L14" s="45"/>
      <c r="M14" s="46"/>
      <c r="N14" s="46"/>
      <c r="O14" s="46"/>
      <c r="P14" s="46"/>
      <c r="Q14" s="47"/>
      <c r="R14" s="19"/>
    </row>
    <row r="15" spans="1:32" ht="16.5" thickBot="1" x14ac:dyDescent="0.3">
      <c r="A15" s="16"/>
      <c r="B15" s="56"/>
      <c r="C15" s="6"/>
      <c r="D15" s="6"/>
      <c r="E15" s="57"/>
      <c r="F15" s="124" t="s">
        <v>46</v>
      </c>
      <c r="G15" s="126">
        <f>IF(ISERROR(AVERAGE(C10:K10)),"",(AVERAGE(C10:K10)))</f>
        <v>38.200000000000003</v>
      </c>
      <c r="H15" s="127"/>
      <c r="I15" s="79" t="str">
        <f>IF(C10="","",C6)</f>
        <v>DENEY NO 1 (D1)</v>
      </c>
      <c r="J15" s="80" t="str">
        <f t="shared" ref="J15:K15" si="16">IF(D10="","",D6)</f>
        <v>DENEY NO 2 (D2)</v>
      </c>
      <c r="K15" s="81" t="str">
        <f t="shared" si="16"/>
        <v>DENEY NO 3 (D3)</v>
      </c>
      <c r="L15" s="48"/>
      <c r="M15" s="4"/>
      <c r="N15" s="4"/>
      <c r="O15" s="4"/>
      <c r="P15" s="4"/>
      <c r="Q15" s="49"/>
      <c r="R15" s="19"/>
    </row>
    <row r="16" spans="1:32" ht="16.5" thickBot="1" x14ac:dyDescent="0.3">
      <c r="A16" s="16"/>
      <c r="B16" s="48"/>
      <c r="C16" s="4"/>
      <c r="D16" s="4"/>
      <c r="E16" s="58"/>
      <c r="F16" s="125"/>
      <c r="G16" s="128"/>
      <c r="H16" s="129"/>
      <c r="I16" s="41">
        <f>IF(I15=C6,C10,"")</f>
        <v>38</v>
      </c>
      <c r="J16" s="11">
        <f t="shared" ref="J16:K16" si="17">IF(J15=D6,D10,"")</f>
        <v>39.5</v>
      </c>
      <c r="K16" s="42">
        <f t="shared" si="17"/>
        <v>37</v>
      </c>
      <c r="L16" s="48"/>
      <c r="M16" s="106" t="s">
        <v>18</v>
      </c>
      <c r="N16" s="107"/>
      <c r="O16" s="107"/>
      <c r="P16" s="108"/>
      <c r="Q16" s="50"/>
      <c r="R16" s="19">
        <f>IF(B1=2,25,IF(B1=3,30,IF(B1=4,37,IF(B1=5,45,IF(B1=6,50,IF(B1=7,55,IF(B1=8,60)))))))</f>
        <v>45</v>
      </c>
    </row>
    <row r="17" spans="1:18" ht="17.25" customHeight="1" thickBot="1" x14ac:dyDescent="0.3">
      <c r="A17" s="16"/>
      <c r="B17" s="154" t="s">
        <v>3</v>
      </c>
      <c r="C17" s="155"/>
      <c r="D17" s="156" t="s">
        <v>4</v>
      </c>
      <c r="E17" s="157"/>
      <c r="F17" s="130">
        <f>IF(ISERROR(AVERAGE(C10:K10)),"",AVERAGE(C10:K10))</f>
        <v>38.200000000000003</v>
      </c>
      <c r="G17" s="133" t="str">
        <f>IF(G15&gt;=H17,W7,IF(G15&lt;H17,"&lt;"))</f>
        <v>&lt;</v>
      </c>
      <c r="H17" s="136">
        <f>IF(L10=1," - ",IF(L10=0,"",IF(L10=2,R16+1,IF(L10=3,R16+1,IF(L10=4,R16+1,IF(L10=5,R16+2,IF(L10=6,R16+2,IF(L10=7,R16+2,IF(L10=8,R16+2,IF(L10=9,R16+2))))))))))</f>
        <v>47</v>
      </c>
      <c r="I17" s="83" t="str">
        <f>IF(F10="","",F6)</f>
        <v>DENEY NO 4 (D4)</v>
      </c>
      <c r="J17" s="80" t="str">
        <f t="shared" ref="J17:K17" si="18">IF(G10="","",G6)</f>
        <v>DENEY NO 5 (D5)</v>
      </c>
      <c r="K17" s="81" t="str">
        <f t="shared" si="18"/>
        <v/>
      </c>
      <c r="L17" s="48"/>
      <c r="M17" s="109"/>
      <c r="N17" s="110"/>
      <c r="O17" s="110"/>
      <c r="P17" s="111"/>
      <c r="Q17" s="50"/>
      <c r="R17" s="19"/>
    </row>
    <row r="18" spans="1:18" ht="17.25" customHeight="1" thickBot="1" x14ac:dyDescent="0.3">
      <c r="A18" s="16"/>
      <c r="B18" s="144" t="s">
        <v>16</v>
      </c>
      <c r="C18" s="145"/>
      <c r="D18" s="7"/>
      <c r="E18" s="59"/>
      <c r="F18" s="131"/>
      <c r="G18" s="134"/>
      <c r="H18" s="137"/>
      <c r="I18" s="43">
        <f>IF(I17=F6,F10,"")</f>
        <v>39.5</v>
      </c>
      <c r="J18" s="11">
        <f t="shared" ref="J18:K18" si="19">IF(J17=G6,G10,"")</f>
        <v>37</v>
      </c>
      <c r="K18" s="42" t="str">
        <f t="shared" si="19"/>
        <v/>
      </c>
      <c r="L18" s="48"/>
      <c r="M18" s="112" t="str">
        <f>IF(OR(F21="UYGUN DEĞİL",I21="UYGUN DEĞİL"),"UYGUN DEĞİL","UYGUN")</f>
        <v>UYGUN DEĞİL</v>
      </c>
      <c r="N18" s="113"/>
      <c r="O18" s="113"/>
      <c r="P18" s="114"/>
      <c r="Q18" s="50"/>
      <c r="R18" s="19"/>
    </row>
    <row r="19" spans="1:18" ht="17.25" customHeight="1" thickBot="1" x14ac:dyDescent="0.3">
      <c r="A19" s="16"/>
      <c r="B19" s="144" t="s">
        <v>47</v>
      </c>
      <c r="C19" s="145"/>
      <c r="D19" s="139" t="s">
        <v>26</v>
      </c>
      <c r="E19" s="140"/>
      <c r="F19" s="131"/>
      <c r="G19" s="134"/>
      <c r="H19" s="137"/>
      <c r="I19" s="84" t="str">
        <f>IF(I10="","",I6)</f>
        <v/>
      </c>
      <c r="J19" s="85" t="str">
        <f t="shared" ref="J19:K19" si="20">IF(J10="","",J6)</f>
        <v/>
      </c>
      <c r="K19" s="86" t="str">
        <f t="shared" si="20"/>
        <v/>
      </c>
      <c r="L19" s="48"/>
      <c r="M19" s="115"/>
      <c r="N19" s="116"/>
      <c r="O19" s="116"/>
      <c r="P19" s="117"/>
      <c r="Q19" s="50"/>
      <c r="R19" s="19"/>
    </row>
    <row r="20" spans="1:18" ht="19.5" customHeight="1" thickBot="1" x14ac:dyDescent="0.4">
      <c r="A20" s="16"/>
      <c r="B20" s="146" t="s">
        <v>48</v>
      </c>
      <c r="C20" s="147"/>
      <c r="D20" s="8"/>
      <c r="E20" s="60"/>
      <c r="F20" s="132"/>
      <c r="G20" s="135"/>
      <c r="H20" s="138"/>
      <c r="I20" s="87" t="str">
        <f>IF(I19=I6,I10,"")</f>
        <v/>
      </c>
      <c r="J20" s="88" t="str">
        <f t="shared" ref="J20:K20" si="21">IF(J19=J6,J10,"")</f>
        <v/>
      </c>
      <c r="K20" s="89" t="str">
        <f t="shared" si="21"/>
        <v/>
      </c>
      <c r="L20" s="48"/>
      <c r="M20" s="4"/>
      <c r="N20" s="10"/>
      <c r="O20" s="4"/>
      <c r="P20" s="4"/>
      <c r="Q20" s="49"/>
      <c r="R20" s="19"/>
    </row>
    <row r="21" spans="1:18" ht="27" customHeight="1" thickBot="1" x14ac:dyDescent="0.3">
      <c r="A21" s="16"/>
      <c r="B21" s="118" t="s">
        <v>43</v>
      </c>
      <c r="C21" s="119"/>
      <c r="D21" s="119"/>
      <c r="E21" s="120"/>
      <c r="F21" s="122" t="str">
        <f>IF(G15&gt;=H17,"UYGUN",IF(H17=" - ","UYGULANAMAZ","UYGUN DEĞİL"))</f>
        <v>UYGUN DEĞİL</v>
      </c>
      <c r="G21" s="122"/>
      <c r="H21" s="123"/>
      <c r="I21" s="121" t="str">
        <f>IF(OR(F10&lt;R16-4,G10&lt;R16-4,H10&lt;R16-4,I10&lt;R16-4,J10&lt;R16-4,K10&lt;R16-4,C10&lt;R16-4,D10&lt;R16-4,E10&lt;R16-4),"UYGUN DEĞİL","UYGUN")</f>
        <v>UYGUN DEĞİL</v>
      </c>
      <c r="J21" s="122"/>
      <c r="K21" s="123"/>
      <c r="L21" s="51"/>
      <c r="M21" s="52"/>
      <c r="N21" s="52"/>
      <c r="O21" s="52"/>
      <c r="P21" s="52"/>
      <c r="Q21" s="53"/>
      <c r="R21" s="19"/>
    </row>
    <row r="22" spans="1:18" ht="12.75" customHeight="1" thickTop="1" thickBot="1" x14ac:dyDescent="0.3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7"/>
      <c r="R22" s="19"/>
    </row>
    <row r="23" spans="1:18" ht="22.5" customHeight="1" thickTop="1" thickBot="1" x14ac:dyDescent="0.3">
      <c r="A23" s="16"/>
      <c r="B23" s="161" t="s">
        <v>5</v>
      </c>
      <c r="C23" s="162"/>
      <c r="D23" s="162"/>
      <c r="E23" s="163"/>
      <c r="F23" s="141" t="s">
        <v>17</v>
      </c>
      <c r="G23" s="142"/>
      <c r="H23" s="143"/>
      <c r="I23" s="141" t="s">
        <v>49</v>
      </c>
      <c r="J23" s="142"/>
      <c r="K23" s="143"/>
      <c r="L23" s="61"/>
      <c r="M23" s="62"/>
      <c r="N23" s="62"/>
      <c r="O23" s="62"/>
      <c r="P23" s="62"/>
      <c r="Q23" s="63"/>
      <c r="R23" s="19"/>
    </row>
    <row r="24" spans="1:18" ht="18.75" customHeight="1" thickBot="1" x14ac:dyDescent="0.3">
      <c r="A24" s="16"/>
      <c r="B24" s="164" t="s">
        <v>3</v>
      </c>
      <c r="C24" s="165"/>
      <c r="D24" s="183" t="s">
        <v>4</v>
      </c>
      <c r="E24" s="184"/>
      <c r="F24" s="176" t="s">
        <v>39</v>
      </c>
      <c r="G24" s="177"/>
      <c r="H24" s="178"/>
      <c r="I24" s="79" t="str">
        <f>IF(C10="","",C6)</f>
        <v>DENEY NO 1 (D1)</v>
      </c>
      <c r="J24" s="80" t="str">
        <f t="shared" ref="J24:K24" si="22">IF(D10="","",D6)</f>
        <v>DENEY NO 2 (D2)</v>
      </c>
      <c r="K24" s="81" t="str">
        <f t="shared" si="22"/>
        <v>DENEY NO 3 (D3)</v>
      </c>
      <c r="L24" s="64"/>
      <c r="M24" s="15"/>
      <c r="N24" s="15"/>
      <c r="O24" s="15"/>
      <c r="P24" s="15"/>
      <c r="Q24" s="65"/>
      <c r="R24" s="19"/>
    </row>
    <row r="25" spans="1:18" ht="16.5" customHeight="1" thickBot="1" x14ac:dyDescent="0.3">
      <c r="A25" s="16"/>
      <c r="B25" s="191" t="s">
        <v>6</v>
      </c>
      <c r="C25" s="192"/>
      <c r="D25" s="179" t="s">
        <v>25</v>
      </c>
      <c r="E25" s="180"/>
      <c r="F25" s="54">
        <f>IF(ISERROR(AVERAGE(C10:E10)),"",AVERAGE(C10:E10))</f>
        <v>38.166666666666664</v>
      </c>
      <c r="G25" s="25" t="str">
        <f>IF(F25&lt;H25,"&lt;",W7)</f>
        <v>&lt;</v>
      </c>
      <c r="H25" s="55">
        <f>IF(L10=0,"",R16-3)</f>
        <v>42</v>
      </c>
      <c r="I25" s="41">
        <f>IF(I24=C6,C10,"")</f>
        <v>38</v>
      </c>
      <c r="J25" s="11">
        <f t="shared" ref="J25:K25" si="23">IF(J24=D6,D10,"")</f>
        <v>39.5</v>
      </c>
      <c r="K25" s="42">
        <f t="shared" si="23"/>
        <v>37</v>
      </c>
      <c r="L25" s="64"/>
      <c r="M25" s="185" t="s">
        <v>20</v>
      </c>
      <c r="N25" s="186"/>
      <c r="O25" s="186"/>
      <c r="P25" s="187"/>
      <c r="Q25" s="65"/>
      <c r="R25" s="19"/>
    </row>
    <row r="26" spans="1:18" ht="19.5" customHeight="1" thickBot="1" x14ac:dyDescent="0.3">
      <c r="A26" s="16"/>
      <c r="B26" s="193"/>
      <c r="C26" s="194"/>
      <c r="D26" s="181"/>
      <c r="E26" s="182"/>
      <c r="F26" s="176" t="s">
        <v>40</v>
      </c>
      <c r="G26" s="177"/>
      <c r="H26" s="178"/>
      <c r="I26" s="83" t="str">
        <f>IF(F10="","",F6)</f>
        <v>DENEY NO 4 (D4)</v>
      </c>
      <c r="J26" s="90" t="str">
        <f t="shared" ref="J26:K26" si="24">IF(G10="","",G6)</f>
        <v>DENEY NO 5 (D5)</v>
      </c>
      <c r="K26" s="81" t="str">
        <f t="shared" si="24"/>
        <v/>
      </c>
      <c r="L26" s="64"/>
      <c r="M26" s="188"/>
      <c r="N26" s="189"/>
      <c r="O26" s="189"/>
      <c r="P26" s="190"/>
      <c r="Q26" s="65"/>
      <c r="R26" s="19"/>
    </row>
    <row r="27" spans="1:18" ht="19.5" customHeight="1" thickBot="1" x14ac:dyDescent="0.3">
      <c r="A27" s="16"/>
      <c r="B27" s="166" t="s">
        <v>7</v>
      </c>
      <c r="C27" s="167"/>
      <c r="D27" s="167"/>
      <c r="E27" s="168"/>
      <c r="F27" s="54">
        <f>IF(ISERROR(AVERAGE(F10:H10)),"",AVERAGE(F10:H10))</f>
        <v>38.25</v>
      </c>
      <c r="G27" s="25" t="str">
        <f>IF(F27&lt;H27,"&lt;",W7)</f>
        <v>&lt;</v>
      </c>
      <c r="H27" s="55">
        <f>IF(L10=0,"",R16-3)</f>
        <v>42</v>
      </c>
      <c r="I27" s="43">
        <f>IF(I26=F6,F10,"")</f>
        <v>39.5</v>
      </c>
      <c r="J27" s="12">
        <f t="shared" ref="J27:K27" si="25">IF(J26=G6,G10,"")</f>
        <v>37</v>
      </c>
      <c r="K27" s="42" t="str">
        <f t="shared" si="25"/>
        <v/>
      </c>
      <c r="L27" s="64"/>
      <c r="M27" s="112" t="str">
        <f>IF(OR(F30="UYGUN DEĞİL",B30="UYGUN DEĞİL"),"UYGUN DEĞİL","UYGUN")</f>
        <v>UYGUN DEĞİL</v>
      </c>
      <c r="N27" s="113"/>
      <c r="O27" s="113"/>
      <c r="P27" s="114"/>
      <c r="Q27" s="65"/>
      <c r="R27" s="19"/>
    </row>
    <row r="28" spans="1:18" ht="19.5" customHeight="1" thickBot="1" x14ac:dyDescent="0.3">
      <c r="A28" s="16"/>
      <c r="B28" s="171" t="s">
        <v>42</v>
      </c>
      <c r="C28" s="175">
        <f>IF(ISERROR(AVERAGE(F25,F27,F29)),"",AVERAGE(F25,F27,F29))</f>
        <v>38.208333333333329</v>
      </c>
      <c r="D28" s="169" t="str">
        <f>IF(E28&gt;C28,"&lt;",W7)</f>
        <v>&lt;</v>
      </c>
      <c r="E28" s="173">
        <f>IF(L10=0,"",R16+1)</f>
        <v>46</v>
      </c>
      <c r="F28" s="176" t="s">
        <v>41</v>
      </c>
      <c r="G28" s="177"/>
      <c r="H28" s="178"/>
      <c r="I28" s="79" t="str">
        <f>IF(I10="","",I6)</f>
        <v/>
      </c>
      <c r="J28" s="80" t="str">
        <f t="shared" ref="J28:K28" si="26">IF(J10="","",J6)</f>
        <v/>
      </c>
      <c r="K28" s="86" t="str">
        <f t="shared" si="26"/>
        <v/>
      </c>
      <c r="L28" s="64"/>
      <c r="M28" s="115"/>
      <c r="N28" s="116"/>
      <c r="O28" s="116"/>
      <c r="P28" s="117"/>
      <c r="Q28" s="65"/>
      <c r="R28" s="19"/>
    </row>
    <row r="29" spans="1:18" ht="19.5" customHeight="1" thickBot="1" x14ac:dyDescent="0.3">
      <c r="A29" s="16"/>
      <c r="B29" s="172"/>
      <c r="C29" s="170"/>
      <c r="D29" s="170"/>
      <c r="E29" s="174"/>
      <c r="F29" s="54" t="str">
        <f>IF(ISERROR(AVERAGE(I10:K10)),"",AVERAGE(I10:K10))</f>
        <v/>
      </c>
      <c r="G29" s="25" t="str">
        <f>IF(F29&lt;H29,"&lt;",W7)</f>
        <v>≥</v>
      </c>
      <c r="H29" s="55">
        <f>IF(L10=0,"",R16-3)</f>
        <v>42</v>
      </c>
      <c r="I29" s="41" t="str">
        <f>IF(I28=I6,I10,"")</f>
        <v/>
      </c>
      <c r="J29" s="11" t="str">
        <f t="shared" ref="J29:K29" si="27">IF(J28=J6,J10,"")</f>
        <v/>
      </c>
      <c r="K29" s="44" t="str">
        <f t="shared" si="27"/>
        <v/>
      </c>
      <c r="L29" s="64"/>
      <c r="M29" s="15"/>
      <c r="N29" s="15"/>
      <c r="O29" s="15"/>
      <c r="P29" s="15"/>
      <c r="Q29" s="65"/>
      <c r="R29" s="19"/>
    </row>
    <row r="30" spans="1:18" ht="23.25" customHeight="1" thickBot="1" x14ac:dyDescent="0.3">
      <c r="A30" s="16"/>
      <c r="B30" s="121" t="str">
        <f>IF(L10&lt;9,"KRİTER UYGULANAMAZ",IF(C28&gt;=E28,"UYGUN","UYGUN DEĞİL"))</f>
        <v>KRİTER UYGULANAMAZ</v>
      </c>
      <c r="C30" s="122"/>
      <c r="D30" s="122"/>
      <c r="E30" s="123"/>
      <c r="F30" s="121" t="str">
        <f>IF(OR(F25&lt;R16-3,F27&lt;R16-3,F29&lt;R16-3),"UYGUN DEĞİL","UYGUN")</f>
        <v>UYGUN DEĞİL</v>
      </c>
      <c r="G30" s="122"/>
      <c r="H30" s="123"/>
      <c r="I30" s="121" t="str">
        <f>IF(OR(F10&lt;R16-3,G10&lt;R16-3,H10&lt;R16-3,I10&lt;R16-3,J10&lt;R16-3,K10&lt;R16-3,C10&lt;R16-3,D10&lt;R16-3,E10&lt;R16-3),"UYGUN DEĞİL","UYGUN")</f>
        <v>UYGUN DEĞİL</v>
      </c>
      <c r="J30" s="122"/>
      <c r="K30" s="123"/>
      <c r="L30" s="66"/>
      <c r="M30" s="67"/>
      <c r="N30" s="67"/>
      <c r="O30" s="67"/>
      <c r="P30" s="67"/>
      <c r="Q30" s="68"/>
      <c r="R30" s="19"/>
    </row>
    <row r="31" spans="1:18" ht="9.75" customHeight="1" thickTop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19"/>
    </row>
  </sheetData>
  <sheetProtection algorithmName="SHA-512" hashValue="6Nwn5eVK7CKzSoUee0jbDwdg7L6v1gBi71Twv2wPQ9QR92NrNsFlGrBLYf1xVWarmdTmdFRxiwblr8K8qBg5jg==" saltValue="OskS7bL3MyJHFNcNm343Ow==" spinCount="100000" sheet="1" objects="1" scenarios="1"/>
  <mergeCells count="40">
    <mergeCell ref="M25:P26"/>
    <mergeCell ref="M27:P28"/>
    <mergeCell ref="B30:E30"/>
    <mergeCell ref="I30:K30"/>
    <mergeCell ref="B25:C26"/>
    <mergeCell ref="F24:H24"/>
    <mergeCell ref="F26:H26"/>
    <mergeCell ref="F28:H28"/>
    <mergeCell ref="F30:H30"/>
    <mergeCell ref="D25:E26"/>
    <mergeCell ref="D24:E24"/>
    <mergeCell ref="B24:C24"/>
    <mergeCell ref="B27:E27"/>
    <mergeCell ref="D28:D29"/>
    <mergeCell ref="B28:B29"/>
    <mergeCell ref="E28:E29"/>
    <mergeCell ref="C28:C29"/>
    <mergeCell ref="I23:K23"/>
    <mergeCell ref="B18:C18"/>
    <mergeCell ref="B19:C19"/>
    <mergeCell ref="B20:C20"/>
    <mergeCell ref="C5:K5"/>
    <mergeCell ref="B14:E14"/>
    <mergeCell ref="B17:C17"/>
    <mergeCell ref="D17:E17"/>
    <mergeCell ref="I14:K14"/>
    <mergeCell ref="B23:E23"/>
    <mergeCell ref="F14:H14"/>
    <mergeCell ref="F23:H23"/>
    <mergeCell ref="M16:P17"/>
    <mergeCell ref="M18:P19"/>
    <mergeCell ref="B21:E21"/>
    <mergeCell ref="I21:K21"/>
    <mergeCell ref="F15:F16"/>
    <mergeCell ref="G15:H16"/>
    <mergeCell ref="F17:F20"/>
    <mergeCell ref="G17:G20"/>
    <mergeCell ref="H17:H20"/>
    <mergeCell ref="D19:E19"/>
    <mergeCell ref="F21:H21"/>
  </mergeCells>
  <conditionalFormatting sqref="F21:H21">
    <cfRule type="cellIs" dxfId="39" priority="6" operator="equal">
      <formula>"UYGULANAMAZ"</formula>
    </cfRule>
    <cfRule type="cellIs" dxfId="38" priority="29" operator="equal">
      <formula>"UYGULANMAZ"</formula>
    </cfRule>
    <cfRule type="cellIs" dxfId="37" priority="41" operator="equal">
      <formula>"uygun"</formula>
    </cfRule>
    <cfRule type="cellIs" dxfId="36" priority="42" operator="equal">
      <formula>"uygun değil"</formula>
    </cfRule>
  </conditionalFormatting>
  <conditionalFormatting sqref="I21:K21">
    <cfRule type="cellIs" dxfId="35" priority="39" operator="equal">
      <formula>"uygun değil"</formula>
    </cfRule>
    <cfRule type="cellIs" dxfId="34" priority="40" operator="equal">
      <formula>"uygun"</formula>
    </cfRule>
  </conditionalFormatting>
  <conditionalFormatting sqref="M18:P19">
    <cfRule type="cellIs" dxfId="33" priority="37" operator="equal">
      <formula>"UYGUN"</formula>
    </cfRule>
    <cfRule type="cellIs" dxfId="32" priority="38" operator="equal">
      <formula>"UYGUN DEĞİL"</formula>
    </cfRule>
  </conditionalFormatting>
  <conditionalFormatting sqref="I16:K16">
    <cfRule type="cellIs" dxfId="31" priority="21" operator="greaterThanOrEqual">
      <formula>$R$16-4</formula>
    </cfRule>
    <cfRule type="cellIs" dxfId="30" priority="35" operator="greaterThan">
      <formula>$R$16-3</formula>
    </cfRule>
    <cfRule type="cellIs" dxfId="29" priority="36" operator="lessThan">
      <formula>$R$16-3</formula>
    </cfRule>
  </conditionalFormatting>
  <conditionalFormatting sqref="I18:K18 I20:K20">
    <cfRule type="cellIs" dxfId="28" priority="33" operator="greaterThanOrEqual">
      <formula>$R$16-4</formula>
    </cfRule>
  </conditionalFormatting>
  <conditionalFormatting sqref="B20:C20">
    <cfRule type="cellIs" dxfId="27" priority="32" operator="equal">
      <formula>$M$4</formula>
    </cfRule>
  </conditionalFormatting>
  <conditionalFormatting sqref="B19:C19">
    <cfRule type="cellIs" dxfId="26" priority="31" operator="equal">
      <formula>$M$4</formula>
    </cfRule>
  </conditionalFormatting>
  <conditionalFormatting sqref="B18:C18">
    <cfRule type="cellIs" dxfId="25" priority="30" operator="equal">
      <formula>$M$4</formula>
    </cfRule>
  </conditionalFormatting>
  <conditionalFormatting sqref="I25:K25 F27 F29">
    <cfRule type="cellIs" dxfId="24" priority="27" operator="greaterThanOrEqual">
      <formula>$R$16-3</formula>
    </cfRule>
    <cfRule type="cellIs" dxfId="23" priority="28" operator="lessThan">
      <formula>$R$16-3</formula>
    </cfRule>
  </conditionalFormatting>
  <conditionalFormatting sqref="I27:K27 I29:K29">
    <cfRule type="cellIs" dxfId="22" priority="25" operator="greaterThan">
      <formula>$R$16-3</formula>
    </cfRule>
    <cfRule type="cellIs" dxfId="21" priority="26" operator="lessThan">
      <formula>$R$16-3</formula>
    </cfRule>
  </conditionalFormatting>
  <conditionalFormatting sqref="I25:K25">
    <cfRule type="cellIs" dxfId="20" priority="23" operator="greaterThan">
      <formula>$R$16-3</formula>
    </cfRule>
    <cfRule type="cellIs" dxfId="19" priority="24" operator="lessThan">
      <formula>$R$16-3</formula>
    </cfRule>
  </conditionalFormatting>
  <conditionalFormatting sqref="I16:K16 I18:K18 I20:K20">
    <cfRule type="cellIs" dxfId="18" priority="22" operator="lessThan">
      <formula>$R$16-4</formula>
    </cfRule>
  </conditionalFormatting>
  <conditionalFormatting sqref="I30:K30">
    <cfRule type="cellIs" dxfId="17" priority="19" operator="equal">
      <formula>"uygun değil"</formula>
    </cfRule>
    <cfRule type="cellIs" dxfId="16" priority="20" operator="equal">
      <formula>"uygun"</formula>
    </cfRule>
  </conditionalFormatting>
  <conditionalFormatting sqref="F25">
    <cfRule type="cellIs" dxfId="15" priority="17" operator="greaterThanOrEqual">
      <formula>$R$16-3</formula>
    </cfRule>
    <cfRule type="cellIs" dxfId="14" priority="18" operator="lessThan">
      <formula>$R$16-3</formula>
    </cfRule>
  </conditionalFormatting>
  <conditionalFormatting sqref="F30:H30">
    <cfRule type="cellIs" dxfId="13" priority="15" operator="equal">
      <formula>"UYGUN"</formula>
    </cfRule>
    <cfRule type="cellIs" dxfId="12" priority="16" operator="equal">
      <formula>"UYGUN DEĞİL"</formula>
    </cfRule>
  </conditionalFormatting>
  <conditionalFormatting sqref="F17:F20">
    <cfRule type="cellIs" dxfId="11" priority="13" operator="greaterThanOrEqual">
      <formula>$H$17</formula>
    </cfRule>
    <cfRule type="cellIs" dxfId="10" priority="14" operator="lessThan">
      <formula>$H$17</formula>
    </cfRule>
  </conditionalFormatting>
  <conditionalFormatting sqref="M27:P28">
    <cfRule type="cellIs" dxfId="9" priority="11" operator="equal">
      <formula>"UYGUN"</formula>
    </cfRule>
    <cfRule type="cellIs" dxfId="8" priority="12" operator="equal">
      <formula>"UYGUN DEĞİL"</formula>
    </cfRule>
  </conditionalFormatting>
  <conditionalFormatting sqref="B30:E30">
    <cfRule type="cellIs" dxfId="7" priority="7" operator="equal">
      <formula>"KRİTER UYGULANAMAZ"</formula>
    </cfRule>
    <cfRule type="cellIs" dxfId="6" priority="9" operator="equal">
      <formula>"UYGUN DEĞİL"</formula>
    </cfRule>
    <cfRule type="cellIs" dxfId="5" priority="10" operator="equal">
      <formula>"UYGUN"</formula>
    </cfRule>
  </conditionalFormatting>
  <conditionalFormatting sqref="C28:C29">
    <cfRule type="cellIs" dxfId="4" priority="8" operator="lessThan">
      <formula>$E$28</formula>
    </cfRule>
    <cfRule type="cellIs" dxfId="3" priority="3" operator="lessThan">
      <formula>$E$28</formula>
    </cfRule>
    <cfRule type="cellIs" dxfId="2" priority="2" operator="greaterThanOrEqual">
      <formula>$E$28</formula>
    </cfRule>
  </conditionalFormatting>
  <conditionalFormatting sqref="C11:K11">
    <cfRule type="cellIs" dxfId="1" priority="5" operator="equal">
      <formula>"-"</formula>
    </cfRule>
    <cfRule type="cellIs" dxfId="0" priority="4" operator="equal">
      <formula>"+"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locked="0" defaultSize="0" autoLine="0" autoPict="0" altText="_x000a_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2</xdr:col>
                    <xdr:colOff>219075</xdr:colOff>
                    <xdr:row>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AÇIKLAMA</vt:lpstr>
      <vt:lpstr>PROGRAM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ENGIN, Yasin</dc:creator>
  <cp:lastModifiedBy>yasin engin</cp:lastModifiedBy>
  <dcterms:created xsi:type="dcterms:W3CDTF">2013-04-02T19:11:46Z</dcterms:created>
  <dcterms:modified xsi:type="dcterms:W3CDTF">2014-12-14T13:10:58Z</dcterms:modified>
</cp:coreProperties>
</file>