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sin\Desktop\"/>
    </mc:Choice>
  </mc:AlternateContent>
  <workbookProtection workbookPassword="CE28" lockStructure="1"/>
  <bookViews>
    <workbookView xWindow="480" yWindow="120" windowWidth="22995" windowHeight="10035" activeTab="1"/>
  </bookViews>
  <sheets>
    <sheet name="AÇIKLAMA" sheetId="3" r:id="rId1"/>
    <sheet name="Beton CO2 emisyonu" sheetId="2" r:id="rId2"/>
    <sheet name="Beton CO2 bağlama" sheetId="6" r:id="rId3"/>
    <sheet name="Sheet2" sheetId="4" state="hidden" r:id="rId4"/>
    <sheet name="Sheet1" sheetId="1" state="hidden" r:id="rId5"/>
  </sheets>
  <definedNames>
    <definedName name="_xlnm._FilterDatabase" localSheetId="4" hidden="1">Sheet1!$A$37:$B$37</definedName>
  </definedNames>
  <calcPr calcId="152511"/>
</workbook>
</file>

<file path=xl/calcChain.xml><?xml version="1.0" encoding="utf-8"?>
<calcChain xmlns="http://schemas.openxmlformats.org/spreadsheetml/2006/main">
  <c r="B24" i="1" l="1"/>
  <c r="H24" i="1" s="1"/>
  <c r="B23" i="1"/>
  <c r="H23" i="1" s="1"/>
  <c r="G29" i="1"/>
  <c r="I22" i="2" s="1"/>
  <c r="I17" i="2"/>
  <c r="M7" i="2" l="1"/>
  <c r="F9" i="6" l="1"/>
  <c r="K10" i="4" l="1"/>
  <c r="J11" i="4"/>
  <c r="K11" i="4" s="1"/>
  <c r="D5" i="2"/>
  <c r="M6" i="4"/>
  <c r="N6" i="4"/>
  <c r="O6" i="4"/>
  <c r="P6" i="4"/>
  <c r="Q6" i="4"/>
  <c r="L6" i="4"/>
  <c r="K3" i="4"/>
  <c r="K2" i="4"/>
  <c r="M17" i="4" l="1"/>
  <c r="K12" i="4"/>
  <c r="M7" i="4"/>
  <c r="N7" i="4"/>
  <c r="O7" i="4"/>
  <c r="P7" i="4"/>
  <c r="L7" i="4"/>
  <c r="N8" i="4" l="1"/>
  <c r="N14" i="4" s="1"/>
  <c r="N15" i="4" s="1"/>
  <c r="M8" i="4"/>
  <c r="M14" i="4" s="1"/>
  <c r="M15" i="4" s="1"/>
  <c r="P8" i="4"/>
  <c r="P14" i="4" s="1"/>
  <c r="P15" i="4" s="1"/>
  <c r="O8" i="4"/>
  <c r="O14" i="4" s="1"/>
  <c r="O15" i="4" s="1"/>
  <c r="L8" i="4"/>
  <c r="D5" i="4"/>
  <c r="E6" i="4"/>
  <c r="E2" i="4"/>
  <c r="E3" i="4"/>
  <c r="D2" i="4"/>
  <c r="C6" i="4"/>
  <c r="D3" i="4"/>
  <c r="D4" i="4"/>
  <c r="D6" i="4"/>
  <c r="C5" i="4"/>
  <c r="E4" i="4"/>
  <c r="E5" i="4"/>
  <c r="C4" i="4"/>
  <c r="C3" i="4"/>
  <c r="C2" i="4"/>
  <c r="B6" i="4"/>
  <c r="B5" i="4"/>
  <c r="B4" i="4"/>
  <c r="B3" i="4"/>
  <c r="B2" i="4"/>
  <c r="L14" i="4" l="1"/>
  <c r="L15" i="4" s="1"/>
  <c r="L17" i="4" s="1"/>
  <c r="N17" i="4" s="1"/>
  <c r="A17" i="6" s="1"/>
  <c r="E17" i="6" s="1"/>
  <c r="H16" i="1"/>
  <c r="H17" i="1"/>
  <c r="C17" i="6" l="1"/>
  <c r="J14" i="1"/>
  <c r="J15" i="1"/>
  <c r="J18" i="1"/>
  <c r="J19" i="1"/>
  <c r="J20" i="1"/>
  <c r="J13" i="1"/>
  <c r="H14" i="1"/>
  <c r="H15" i="1"/>
  <c r="H18" i="1"/>
  <c r="H19" i="1"/>
  <c r="H20" i="1"/>
  <c r="H13" i="1"/>
  <c r="I8" i="2" l="1"/>
  <c r="I7" i="2"/>
  <c r="I6" i="2"/>
  <c r="I5" i="2"/>
  <c r="I4" i="2"/>
  <c r="B33" i="1" l="1"/>
  <c r="K3" i="2"/>
  <c r="B31" i="1" s="1"/>
  <c r="I10" i="2" l="1"/>
  <c r="B32" i="1" s="1"/>
  <c r="C10" i="2"/>
  <c r="D8" i="2"/>
  <c r="E8" i="2" s="1"/>
  <c r="D7" i="2"/>
  <c r="E7" i="2" s="1"/>
  <c r="D6" i="2"/>
  <c r="E6" i="2" s="1"/>
  <c r="E5" i="2"/>
  <c r="D4" i="2"/>
  <c r="E4" i="2" s="1"/>
  <c r="B22" i="1"/>
  <c r="B21" i="1"/>
  <c r="J22" i="1" l="1"/>
  <c r="H22" i="1"/>
  <c r="J26" i="1"/>
  <c r="J23" i="1"/>
  <c r="J24" i="1"/>
  <c r="J21" i="1"/>
  <c r="H21" i="1"/>
  <c r="J25" i="1"/>
  <c r="E10" i="2"/>
  <c r="E17" i="2" s="1"/>
  <c r="D10" i="2"/>
  <c r="E9" i="2"/>
  <c r="F4" i="2" s="1"/>
  <c r="B30" i="1" l="1"/>
  <c r="F6" i="2"/>
  <c r="F5" i="2"/>
  <c r="F7" i="2"/>
  <c r="F8" i="2"/>
  <c r="C32" i="1" l="1"/>
  <c r="C33" i="1"/>
  <c r="C30" i="1"/>
  <c r="C31" i="1"/>
  <c r="F10" i="2"/>
</calcChain>
</file>

<file path=xl/sharedStrings.xml><?xml version="1.0" encoding="utf-8"?>
<sst xmlns="http://schemas.openxmlformats.org/spreadsheetml/2006/main" count="143" uniqueCount="100">
  <si>
    <t>Admixtures</t>
  </si>
  <si>
    <t>Aggregates</t>
  </si>
  <si>
    <t>Fly Ash</t>
  </si>
  <si>
    <t>GGBS</t>
  </si>
  <si>
    <t>Water</t>
  </si>
  <si>
    <t>Reinforcing</t>
  </si>
  <si>
    <t>Limestone</t>
  </si>
  <si>
    <t>CEM II B-V</t>
  </si>
  <si>
    <t>CEM III A</t>
  </si>
  <si>
    <t>CEM IV B</t>
  </si>
  <si>
    <t>CEM V A</t>
  </si>
  <si>
    <t>CEM V B</t>
  </si>
  <si>
    <t>OPC</t>
  </si>
  <si>
    <t>Tras</t>
  </si>
  <si>
    <t>SU</t>
  </si>
  <si>
    <t>AGREGA</t>
  </si>
  <si>
    <t>UÇUCU KÜL</t>
  </si>
  <si>
    <r>
      <t>AĞIRLIK (kg/m</t>
    </r>
    <r>
      <rPr>
        <b/>
        <vertAlign val="superscript"/>
        <sz val="16"/>
        <color theme="0"/>
        <rFont val="Calibri"/>
        <family val="2"/>
        <charset val="162"/>
        <scheme val="minor"/>
      </rPr>
      <t>3</t>
    </r>
    <r>
      <rPr>
        <b/>
        <sz val="16"/>
        <color theme="0"/>
        <rFont val="Calibri"/>
        <family val="2"/>
        <charset val="162"/>
        <scheme val="minor"/>
      </rPr>
      <t>)</t>
    </r>
  </si>
  <si>
    <r>
      <t>CO</t>
    </r>
    <r>
      <rPr>
        <b/>
        <vertAlign val="subscript"/>
        <sz val="16"/>
        <color theme="0"/>
        <rFont val="Calibri"/>
        <family val="2"/>
        <charset val="162"/>
        <scheme val="minor"/>
      </rPr>
      <t>2,eşdeğer</t>
    </r>
    <r>
      <rPr>
        <b/>
        <sz val="16"/>
        <color theme="0"/>
        <rFont val="Calibri"/>
        <family val="2"/>
        <charset val="162"/>
        <scheme val="minor"/>
      </rPr>
      <t xml:space="preserve"> (%)</t>
    </r>
  </si>
  <si>
    <t>TOPLAM</t>
  </si>
  <si>
    <t xml:space="preserve">CEM IV A </t>
  </si>
  <si>
    <r>
      <t>CO</t>
    </r>
    <r>
      <rPr>
        <b/>
        <vertAlign val="subscript"/>
        <sz val="16"/>
        <color theme="0"/>
        <rFont val="Calibri"/>
        <family val="2"/>
        <charset val="162"/>
        <scheme val="minor"/>
      </rPr>
      <t>2,eşdeğer</t>
    </r>
    <r>
      <rPr>
        <b/>
        <sz val="16"/>
        <color theme="0"/>
        <rFont val="Calibri"/>
        <family val="2"/>
        <charset val="162"/>
        <scheme val="minor"/>
      </rPr>
      <t xml:space="preserve"> (kg/m</t>
    </r>
    <r>
      <rPr>
        <b/>
        <vertAlign val="superscript"/>
        <sz val="16"/>
        <color theme="0"/>
        <rFont val="Calibri"/>
        <family val="2"/>
        <charset val="162"/>
        <scheme val="minor"/>
      </rPr>
      <t>3</t>
    </r>
    <r>
      <rPr>
        <b/>
        <sz val="16"/>
        <color theme="0"/>
        <rFont val="Calibri"/>
        <family val="2"/>
        <charset val="162"/>
        <scheme val="minor"/>
      </rPr>
      <t>)</t>
    </r>
  </si>
  <si>
    <t>NAKLİYE MESAFESİ(km)</t>
  </si>
  <si>
    <t>HAMMADDE NAKLİYESİ KAYNAKLI EMİSYON</t>
  </si>
  <si>
    <t>Üretim-hammadde</t>
  </si>
  <si>
    <t>Üretim-enerji</t>
  </si>
  <si>
    <t>Hammadde nakliye</t>
  </si>
  <si>
    <t>Beton nakliye</t>
  </si>
  <si>
    <t>gypsum</t>
  </si>
  <si>
    <t>Gypsum</t>
  </si>
  <si>
    <t>CEM IV/B 32.5</t>
  </si>
  <si>
    <t>CEM IV/A 42.5</t>
  </si>
  <si>
    <t>CEM I 42.5</t>
  </si>
  <si>
    <t xml:space="preserve">CEM II A-LL 42.5 </t>
  </si>
  <si>
    <t xml:space="preserve">CEM II A-S 42.5 </t>
  </si>
  <si>
    <t>Clinker</t>
  </si>
  <si>
    <t xml:space="preserve">CEM II/B-M 32.5 </t>
  </si>
  <si>
    <t xml:space="preserve">CEM II/B-LL 32.5 </t>
  </si>
  <si>
    <t xml:space="preserve">CEM II B-S 42.5 </t>
  </si>
  <si>
    <r>
      <t>CO</t>
    </r>
    <r>
      <rPr>
        <b/>
        <vertAlign val="subscript"/>
        <sz val="16"/>
        <color theme="0"/>
        <rFont val="Calibri"/>
        <family val="2"/>
        <charset val="162"/>
        <scheme val="minor"/>
      </rPr>
      <t xml:space="preserve">2,eşdeğer                    </t>
    </r>
    <r>
      <rPr>
        <b/>
        <sz val="16"/>
        <color theme="0"/>
        <rFont val="Calibri"/>
        <family val="2"/>
        <charset val="162"/>
        <scheme val="minor"/>
      </rPr>
      <t xml:space="preserve"> (kg/ton) - (kg/m</t>
    </r>
    <r>
      <rPr>
        <b/>
        <vertAlign val="superscript"/>
        <sz val="16"/>
        <color theme="0"/>
        <rFont val="Calibri"/>
        <family val="2"/>
        <charset val="162"/>
        <scheme val="minor"/>
      </rPr>
      <t>3</t>
    </r>
    <r>
      <rPr>
        <b/>
        <sz val="16"/>
        <color theme="0"/>
        <rFont val="Calibri"/>
        <family val="2"/>
        <charset val="162"/>
        <scheme val="minor"/>
      </rPr>
      <t>)</t>
    </r>
  </si>
  <si>
    <t>KİMYASAL KATKI</t>
  </si>
  <si>
    <r>
      <t>BETON ÜRETİMİ KAYNAKLI EMİSYON (kg/m</t>
    </r>
    <r>
      <rPr>
        <b/>
        <vertAlign val="superscript"/>
        <sz val="16"/>
        <color theme="0"/>
        <rFont val="Calibri"/>
        <family val="2"/>
        <charset val="162"/>
        <scheme val="minor"/>
      </rPr>
      <t>3</t>
    </r>
    <r>
      <rPr>
        <b/>
        <sz val="16"/>
        <color theme="0"/>
        <rFont val="Calibri"/>
        <family val="2"/>
        <charset val="162"/>
        <scheme val="minor"/>
      </rPr>
      <t>)</t>
    </r>
  </si>
  <si>
    <t>BİLEŞEN*</t>
  </si>
  <si>
    <t>SADECE SARI HÜCRELERE VERİ GİRİNİZ. (*ÇİMENTO VE MİNERAL KATKI CİNSİ HÜCRE İÇİNDE SEÇİLEBİLİR.)</t>
  </si>
  <si>
    <r>
      <t>HAZIR BETON CO</t>
    </r>
    <r>
      <rPr>
        <b/>
        <vertAlign val="subscript"/>
        <sz val="16"/>
        <color theme="0"/>
        <rFont val="Calibri"/>
        <family val="2"/>
        <charset val="162"/>
        <scheme val="minor"/>
      </rPr>
      <t xml:space="preserve">2,eşdeğer  </t>
    </r>
    <r>
      <rPr>
        <b/>
        <sz val="16"/>
        <color theme="0"/>
        <rFont val="Calibri"/>
        <family val="2"/>
        <charset val="162"/>
        <scheme val="minor"/>
      </rPr>
      <t>EMİSYONU</t>
    </r>
  </si>
  <si>
    <t xml:space="preserve">HAZIRLAYAN: YASİN ENGİN (İnş.Yük.Müh)               </t>
  </si>
  <si>
    <t xml:space="preserve">www.betonvecimento.com </t>
  </si>
  <si>
    <t>yasin.engin@gmail.com</t>
  </si>
  <si>
    <t>Strength</t>
  </si>
  <si>
    <t>&lt; 15 MPa</t>
  </si>
  <si>
    <t>15-20 MPa</t>
  </si>
  <si>
    <t>25-35 MPa</t>
  </si>
  <si>
    <t>&gt; 35 MPa</t>
  </si>
  <si>
    <t>Wet/submerged</t>
  </si>
  <si>
    <t>Buried</t>
  </si>
  <si>
    <t>Exposed</t>
  </si>
  <si>
    <t>Sheltered</t>
  </si>
  <si>
    <t>Indoors</t>
  </si>
  <si>
    <t>t</t>
  </si>
  <si>
    <t>Indoor house concrete</t>
  </si>
  <si>
    <t>Outdoor house concrete</t>
  </si>
  <si>
    <t>Infrastructure concrete if painted</t>
  </si>
  <si>
    <t>&lt;10</t>
  </si>
  <si>
    <t>10-20</t>
  </si>
  <si>
    <t>20-30</t>
  </si>
  <si>
    <t>30-40</t>
  </si>
  <si>
    <t>40-60</t>
  </si>
  <si>
    <t>60-80</t>
  </si>
  <si>
    <t>İç Yapı</t>
  </si>
  <si>
    <t>Dış Yapı</t>
  </si>
  <si>
    <t>Toprağa Gömülü</t>
  </si>
  <si>
    <t>Su içinde</t>
  </si>
  <si>
    <t>Korunaklı</t>
  </si>
  <si>
    <t>Beton Dayanım Sınıfı</t>
  </si>
  <si>
    <t>Servis Ömrü</t>
  </si>
  <si>
    <r>
      <t>Yüzey Alan (m</t>
    </r>
    <r>
      <rPr>
        <vertAlign val="superscript"/>
        <sz val="11"/>
        <color theme="1"/>
        <rFont val="Calibri"/>
        <family val="2"/>
        <charset val="162"/>
        <scheme val="minor"/>
      </rPr>
      <t>2</t>
    </r>
    <r>
      <rPr>
        <sz val="11"/>
        <color theme="1"/>
        <rFont val="Calibri"/>
        <family val="2"/>
        <charset val="162"/>
        <scheme val="minor"/>
      </rPr>
      <t>)</t>
    </r>
  </si>
  <si>
    <r>
      <t>TOPLAM CO</t>
    </r>
    <r>
      <rPr>
        <b/>
        <i/>
        <vertAlign val="subscript"/>
        <sz val="18"/>
        <color theme="0"/>
        <rFont val="Calibri"/>
        <family val="2"/>
        <charset val="162"/>
        <scheme val="minor"/>
      </rPr>
      <t xml:space="preserve">2,eşdeğer </t>
    </r>
    <r>
      <rPr>
        <b/>
        <i/>
        <sz val="18"/>
        <color theme="0"/>
        <rFont val="Calibri"/>
        <family val="2"/>
        <charset val="162"/>
        <scheme val="minor"/>
      </rPr>
      <t xml:space="preserve"> EMİSYONU (kg/m</t>
    </r>
    <r>
      <rPr>
        <b/>
        <i/>
        <vertAlign val="superscript"/>
        <sz val="18"/>
        <color theme="0"/>
        <rFont val="Calibri"/>
        <family val="2"/>
        <charset val="162"/>
        <scheme val="minor"/>
      </rPr>
      <t>3</t>
    </r>
    <r>
      <rPr>
        <b/>
        <i/>
        <sz val="18"/>
        <color theme="0"/>
        <rFont val="Calibri"/>
        <family val="2"/>
        <charset val="162"/>
        <scheme val="minor"/>
      </rPr>
      <t>)</t>
    </r>
  </si>
  <si>
    <t>Silis Dumanı</t>
  </si>
  <si>
    <t>Uçucu Kül</t>
  </si>
  <si>
    <t>Y.F.Cürufu</t>
  </si>
  <si>
    <t>Kireçtaşı</t>
  </si>
  <si>
    <r>
      <t>Toplam Beton Hacmi (m</t>
    </r>
    <r>
      <rPr>
        <b/>
        <vertAlign val="superscript"/>
        <sz val="12"/>
        <color theme="0"/>
        <rFont val="Calibri"/>
        <family val="2"/>
        <charset val="162"/>
        <scheme val="minor"/>
      </rPr>
      <t>3</t>
    </r>
    <r>
      <rPr>
        <b/>
        <sz val="12"/>
        <color theme="0"/>
        <rFont val="Calibri"/>
        <family val="2"/>
        <charset val="162"/>
        <scheme val="minor"/>
      </rPr>
      <t>)</t>
    </r>
  </si>
  <si>
    <r>
      <t xml:space="preserve"> CO</t>
    </r>
    <r>
      <rPr>
        <b/>
        <vertAlign val="subscript"/>
        <sz val="12"/>
        <color theme="0"/>
        <rFont val="Calibri"/>
        <family val="2"/>
        <charset val="162"/>
        <scheme val="minor"/>
      </rPr>
      <t xml:space="preserve">2 </t>
    </r>
    <r>
      <rPr>
        <b/>
        <sz val="12"/>
        <color theme="0"/>
        <rFont val="Calibri"/>
        <family val="2"/>
        <charset val="162"/>
        <scheme val="minor"/>
      </rPr>
      <t>Miktarı (kg/m</t>
    </r>
    <r>
      <rPr>
        <b/>
        <vertAlign val="superscript"/>
        <sz val="12"/>
        <color theme="0"/>
        <rFont val="Calibri"/>
        <family val="2"/>
        <charset val="162"/>
        <scheme val="minor"/>
      </rPr>
      <t>2</t>
    </r>
    <r>
      <rPr>
        <b/>
        <sz val="12"/>
        <color theme="0"/>
        <rFont val="Calibri"/>
        <family val="2"/>
        <charset val="162"/>
        <scheme val="minor"/>
      </rPr>
      <t>)</t>
    </r>
  </si>
  <si>
    <r>
      <t xml:space="preserve"> CO</t>
    </r>
    <r>
      <rPr>
        <b/>
        <vertAlign val="subscript"/>
        <sz val="12"/>
        <color theme="0"/>
        <rFont val="Calibri"/>
        <family val="2"/>
        <charset val="162"/>
        <scheme val="minor"/>
      </rPr>
      <t xml:space="preserve">2 </t>
    </r>
    <r>
      <rPr>
        <b/>
        <sz val="12"/>
        <color theme="0"/>
        <rFont val="Calibri"/>
        <family val="2"/>
        <charset val="162"/>
        <scheme val="minor"/>
      </rPr>
      <t>Miktarı (kg/m</t>
    </r>
    <r>
      <rPr>
        <b/>
        <vertAlign val="superscript"/>
        <sz val="12"/>
        <color theme="0"/>
        <rFont val="Calibri"/>
        <family val="2"/>
        <charset val="162"/>
        <scheme val="minor"/>
      </rPr>
      <t>3</t>
    </r>
    <r>
      <rPr>
        <b/>
        <sz val="12"/>
        <color theme="0"/>
        <rFont val="Calibri"/>
        <family val="2"/>
        <charset val="162"/>
        <scheme val="minor"/>
      </rPr>
      <t>)</t>
    </r>
  </si>
  <si>
    <t>Yok</t>
  </si>
  <si>
    <t>Silis D</t>
  </si>
  <si>
    <t>Y.F.CÜRUFU</t>
  </si>
  <si>
    <t>SİLİS DUMANI</t>
  </si>
  <si>
    <t>Çimento Tipi Seçiniz</t>
  </si>
  <si>
    <t>Mineral Katkı Seçiniz</t>
  </si>
  <si>
    <r>
      <t xml:space="preserve"> CO</t>
    </r>
    <r>
      <rPr>
        <b/>
        <i/>
        <vertAlign val="subscript"/>
        <sz val="18"/>
        <color theme="0"/>
        <rFont val="Calibri"/>
        <family val="2"/>
        <charset val="162"/>
        <scheme val="minor"/>
      </rPr>
      <t xml:space="preserve">2 </t>
    </r>
    <r>
      <rPr>
        <b/>
        <i/>
        <sz val="18"/>
        <color theme="0"/>
        <rFont val="Calibri"/>
        <family val="2"/>
        <charset val="162"/>
        <scheme val="minor"/>
      </rPr>
      <t>bağlama potansiyeli (kg/m</t>
    </r>
    <r>
      <rPr>
        <b/>
        <i/>
        <vertAlign val="superscript"/>
        <sz val="18"/>
        <color theme="0"/>
        <rFont val="Calibri"/>
        <family val="2"/>
        <charset val="162"/>
        <scheme val="minor"/>
      </rPr>
      <t>3</t>
    </r>
    <r>
      <rPr>
        <b/>
        <i/>
        <sz val="18"/>
        <color theme="0"/>
        <rFont val="Calibri"/>
        <family val="2"/>
        <charset val="162"/>
        <scheme val="minor"/>
      </rPr>
      <t>)</t>
    </r>
  </si>
  <si>
    <r>
      <t>Tüm Servis Ömrü Boyunca Bağlanan CO</t>
    </r>
    <r>
      <rPr>
        <b/>
        <vertAlign val="subscript"/>
        <sz val="12"/>
        <color theme="0"/>
        <rFont val="Calibri"/>
        <family val="2"/>
        <charset val="162"/>
        <scheme val="minor"/>
      </rPr>
      <t xml:space="preserve">2 </t>
    </r>
    <r>
      <rPr>
        <b/>
        <sz val="12"/>
        <color theme="0"/>
        <rFont val="Calibri"/>
        <family val="2"/>
        <charset val="162"/>
        <scheme val="minor"/>
      </rPr>
      <t>Miktarı (kg)</t>
    </r>
  </si>
  <si>
    <r>
      <t>Toplam Yüzey AlanI (m</t>
    </r>
    <r>
      <rPr>
        <b/>
        <vertAlign val="superscript"/>
        <sz val="12"/>
        <color theme="0"/>
        <rFont val="Calibri"/>
        <family val="2"/>
        <charset val="162"/>
        <scheme val="minor"/>
      </rPr>
      <t>2</t>
    </r>
    <r>
      <rPr>
        <b/>
        <sz val="12"/>
        <color theme="0"/>
        <rFont val="Calibri"/>
        <family val="2"/>
        <charset val="162"/>
        <scheme val="minor"/>
      </rPr>
      <t>)</t>
    </r>
  </si>
  <si>
    <t>Yapının Servis Ömrü</t>
  </si>
  <si>
    <t>Ortalama Beton Dayanım Sınıfı</t>
  </si>
  <si>
    <r>
      <t>Yüzey Alanı (m</t>
    </r>
    <r>
      <rPr>
        <b/>
        <vertAlign val="superscript"/>
        <sz val="12"/>
        <color theme="0"/>
        <rFont val="Calibri"/>
        <family val="2"/>
        <charset val="162"/>
        <scheme val="minor"/>
      </rPr>
      <t>2</t>
    </r>
    <r>
      <rPr>
        <b/>
        <sz val="12"/>
        <color theme="0"/>
        <rFont val="Calibri"/>
        <family val="2"/>
        <charset val="162"/>
        <scheme val="minor"/>
      </rPr>
      <t>)</t>
    </r>
  </si>
  <si>
    <r>
      <t>Beton Tarafından Karbonatlaşma Sonucu Bağlanan CO</t>
    </r>
    <r>
      <rPr>
        <b/>
        <vertAlign val="subscript"/>
        <sz val="16"/>
        <color theme="0"/>
        <rFont val="Calibri"/>
        <family val="2"/>
        <charset val="162"/>
        <scheme val="minor"/>
      </rPr>
      <t xml:space="preserve">2 </t>
    </r>
    <r>
      <rPr>
        <b/>
        <sz val="16"/>
        <color theme="0"/>
        <rFont val="Calibri"/>
        <family val="2"/>
        <charset val="162"/>
        <scheme val="minor"/>
      </rPr>
      <t xml:space="preserve"> Miktarı</t>
    </r>
  </si>
  <si>
    <t>BETONUN SEVKİYATI VE KALIBA YERLEŞTİRİLMESİ KAYNAKLI EMİSYON</t>
  </si>
  <si>
    <t xml:space="preserve">PROGRAMDA VERİLERİN ORTALAMALARI DİKKATE ALINMIŞTIR. GENEL BİR DEĞERLENDİRME YAPILABİLİR, ANCAK SONUÇLAR TÜM REÇETELER VE KOŞULLAR İÇİN GEÇERLİ OLMAYACAKTIR.  </t>
  </si>
  <si>
    <t>SADECE SARI HÜCRELERE VERİ GİRİNİZ.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</si>
</sst>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8" x14ac:knownFonts="1">
    <font>
      <sz val="11"/>
      <color theme="1"/>
      <name val="Calibri"/>
      <family val="2"/>
      <charset val="16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name val="Calibri"/>
      <family val="2"/>
    </font>
    <font>
      <b/>
      <sz val="14"/>
      <color theme="1"/>
      <name val="Calibri"/>
      <family val="2"/>
      <charset val="162"/>
      <scheme val="minor"/>
    </font>
    <font>
      <b/>
      <sz val="16"/>
      <color theme="0"/>
      <name val="Calibri"/>
      <family val="2"/>
      <charset val="162"/>
      <scheme val="minor"/>
    </font>
    <font>
      <b/>
      <vertAlign val="superscript"/>
      <sz val="16"/>
      <color theme="0"/>
      <name val="Calibri"/>
      <family val="2"/>
      <charset val="162"/>
      <scheme val="minor"/>
    </font>
    <font>
      <b/>
      <vertAlign val="subscript"/>
      <sz val="16"/>
      <color theme="0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i/>
      <sz val="16"/>
      <color theme="0"/>
      <name val="Calibri"/>
      <family val="2"/>
      <charset val="162"/>
      <scheme val="minor"/>
    </font>
    <font>
      <b/>
      <i/>
      <sz val="18"/>
      <color rgb="FFFF0000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i/>
      <sz val="18"/>
      <color theme="1"/>
      <name val="Calibri"/>
      <family val="2"/>
      <charset val="162"/>
      <scheme val="minor"/>
    </font>
    <font>
      <b/>
      <i/>
      <sz val="22"/>
      <color rgb="FFFF0000"/>
      <name val="Calibri"/>
      <family val="2"/>
      <charset val="162"/>
      <scheme val="minor"/>
    </font>
    <font>
      <b/>
      <i/>
      <sz val="12"/>
      <color theme="1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i/>
      <sz val="14"/>
      <color theme="0"/>
      <name val="Calibri"/>
      <family val="2"/>
      <charset val="162"/>
      <scheme val="minor"/>
    </font>
    <font>
      <b/>
      <i/>
      <sz val="14"/>
      <color theme="1"/>
      <name val="Calibri"/>
      <family val="2"/>
      <charset val="162"/>
      <scheme val="minor"/>
    </font>
    <font>
      <b/>
      <i/>
      <sz val="14"/>
      <color rgb="FFFF000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b/>
      <u/>
      <sz val="14"/>
      <color theme="0"/>
      <name val="Calibri"/>
      <family val="2"/>
      <charset val="162"/>
      <scheme val="minor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26"/>
      <color rgb="FF00B05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vertAlign val="superscript"/>
      <sz val="11"/>
      <color theme="1"/>
      <name val="Calibri"/>
      <family val="2"/>
      <charset val="162"/>
      <scheme val="minor"/>
    </font>
    <font>
      <b/>
      <sz val="12"/>
      <color theme="0"/>
      <name val="Calibri"/>
      <family val="2"/>
      <charset val="162"/>
      <scheme val="minor"/>
    </font>
    <font>
      <b/>
      <i/>
      <sz val="12"/>
      <color theme="0"/>
      <name val="Calibri"/>
      <family val="2"/>
      <charset val="162"/>
      <scheme val="minor"/>
    </font>
    <font>
      <b/>
      <i/>
      <sz val="18"/>
      <color theme="0"/>
      <name val="Calibri"/>
      <family val="2"/>
      <charset val="162"/>
      <scheme val="minor"/>
    </font>
    <font>
      <b/>
      <i/>
      <vertAlign val="subscript"/>
      <sz val="18"/>
      <color theme="0"/>
      <name val="Calibri"/>
      <family val="2"/>
      <charset val="162"/>
      <scheme val="minor"/>
    </font>
    <font>
      <b/>
      <i/>
      <vertAlign val="superscript"/>
      <sz val="18"/>
      <color theme="0"/>
      <name val="Calibri"/>
      <family val="2"/>
      <charset val="162"/>
      <scheme val="minor"/>
    </font>
    <font>
      <b/>
      <vertAlign val="superscript"/>
      <sz val="12"/>
      <color theme="0"/>
      <name val="Calibri"/>
      <family val="2"/>
      <charset val="162"/>
      <scheme val="minor"/>
    </font>
    <font>
      <b/>
      <vertAlign val="subscript"/>
      <sz val="12"/>
      <color theme="0"/>
      <name val="Calibri"/>
      <family val="2"/>
      <charset val="162"/>
      <scheme val="minor"/>
    </font>
    <font>
      <b/>
      <i/>
      <sz val="26"/>
      <color rgb="FFFF0000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11"/>
        <bgColor indexed="26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201">
    <xf numFmtId="0" fontId="0" fillId="0" borderId="0" xfId="0"/>
    <xf numFmtId="9" fontId="1" fillId="0" borderId="2" xfId="0" applyNumberFormat="1" applyFont="1" applyBorder="1" applyAlignment="1" applyProtection="1">
      <alignment horizontal="center"/>
      <protection hidden="1"/>
    </xf>
    <xf numFmtId="0" fontId="1" fillId="2" borderId="2" xfId="0" applyFont="1" applyFill="1" applyBorder="1" applyAlignment="1" applyProtection="1">
      <alignment vertical="center"/>
      <protection hidden="1"/>
    </xf>
    <xf numFmtId="164" fontId="1" fillId="3" borderId="2" xfId="0" applyNumberFormat="1" applyFont="1" applyFill="1" applyBorder="1" applyAlignment="1" applyProtection="1">
      <alignment horizontal="right" vertical="center"/>
      <protection hidden="1"/>
    </xf>
    <xf numFmtId="164" fontId="1" fillId="4" borderId="2" xfId="0" applyNumberFormat="1" applyFont="1" applyFill="1" applyBorder="1" applyAlignment="1" applyProtection="1">
      <alignment horizontal="right" vertical="center"/>
      <protection hidden="1"/>
    </xf>
    <xf numFmtId="0" fontId="2" fillId="0" borderId="1" xfId="0" applyFont="1" applyBorder="1" applyAlignment="1" applyProtection="1">
      <protection hidden="1"/>
    </xf>
    <xf numFmtId="164" fontId="3" fillId="3" borderId="5" xfId="0" applyNumberFormat="1" applyFont="1" applyFill="1" applyBorder="1" applyAlignment="1" applyProtection="1">
      <alignment horizontal="center"/>
      <protection hidden="1"/>
    </xf>
    <xf numFmtId="164" fontId="1" fillId="3" borderId="6" xfId="0" applyNumberFormat="1" applyFont="1" applyFill="1" applyBorder="1" applyAlignment="1" applyProtection="1">
      <alignment horizontal="right" vertical="center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4" fillId="0" borderId="2" xfId="0" applyFont="1" applyBorder="1" applyAlignment="1">
      <alignment horizontal="center" vertical="center"/>
    </xf>
    <xf numFmtId="164" fontId="4" fillId="8" borderId="2" xfId="0" applyNumberFormat="1" applyFont="1" applyFill="1" applyBorder="1" applyAlignment="1">
      <alignment horizontal="center" vertical="center"/>
    </xf>
    <xf numFmtId="10" fontId="4" fillId="8" borderId="15" xfId="0" applyNumberFormat="1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64" fontId="4" fillId="8" borderId="17" xfId="0" applyNumberFormat="1" applyFont="1" applyFill="1" applyBorder="1" applyAlignment="1">
      <alignment horizontal="center" vertical="center"/>
    </xf>
    <xf numFmtId="10" fontId="4" fillId="8" borderId="18" xfId="0" applyNumberFormat="1" applyFont="1" applyFill="1" applyBorder="1" applyAlignment="1">
      <alignment horizontal="center" vertical="center"/>
    </xf>
    <xf numFmtId="0" fontId="11" fillId="0" borderId="0" xfId="0" applyFont="1"/>
    <xf numFmtId="0" fontId="4" fillId="0" borderId="7" xfId="0" applyFont="1" applyBorder="1" applyAlignment="1">
      <alignment horizontal="center" vertical="center"/>
    </xf>
    <xf numFmtId="164" fontId="4" fillId="8" borderId="7" xfId="0" applyNumberFormat="1" applyFont="1" applyFill="1" applyBorder="1" applyAlignment="1">
      <alignment horizontal="center" vertical="center"/>
    </xf>
    <xf numFmtId="10" fontId="4" fillId="8" borderId="24" xfId="0" applyNumberFormat="1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horizontal="center" vertical="center"/>
    </xf>
    <xf numFmtId="0" fontId="5" fillId="5" borderId="2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 wrapText="1"/>
    </xf>
    <xf numFmtId="164" fontId="9" fillId="9" borderId="0" xfId="0" applyNumberFormat="1" applyFont="1" applyFill="1" applyBorder="1" applyAlignment="1">
      <alignment vertical="center"/>
    </xf>
    <xf numFmtId="0" fontId="4" fillId="7" borderId="7" xfId="0" applyFont="1" applyFill="1" applyBorder="1" applyAlignment="1" applyProtection="1">
      <alignment horizontal="center" vertical="center"/>
      <protection locked="0"/>
    </xf>
    <xf numFmtId="0" fontId="4" fillId="7" borderId="2" xfId="0" applyFont="1" applyFill="1" applyBorder="1" applyAlignment="1" applyProtection="1">
      <alignment horizontal="center" vertical="center"/>
      <protection locked="0"/>
    </xf>
    <xf numFmtId="0" fontId="4" fillId="7" borderId="17" xfId="0" applyFont="1" applyFill="1" applyBorder="1" applyAlignment="1" applyProtection="1">
      <alignment horizontal="center" vertical="center"/>
      <protection locked="0"/>
    </xf>
    <xf numFmtId="164" fontId="0" fillId="0" borderId="0" xfId="0" applyNumberFormat="1"/>
    <xf numFmtId="164" fontId="9" fillId="9" borderId="30" xfId="0" applyNumberFormat="1" applyFont="1" applyFill="1" applyBorder="1" applyAlignment="1">
      <alignment vertical="center"/>
    </xf>
    <xf numFmtId="164" fontId="9" fillId="9" borderId="32" xfId="0" applyNumberFormat="1" applyFont="1" applyFill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31" xfId="0" applyBorder="1"/>
    <xf numFmtId="0" fontId="0" fillId="0" borderId="32" xfId="0" applyBorder="1"/>
    <xf numFmtId="0" fontId="0" fillId="0" borderId="11" xfId="0" applyBorder="1"/>
    <xf numFmtId="0" fontId="0" fillId="12" borderId="8" xfId="0" applyFill="1" applyBorder="1"/>
    <xf numFmtId="0" fontId="0" fillId="12" borderId="30" xfId="0" applyFill="1" applyBorder="1"/>
    <xf numFmtId="0" fontId="0" fillId="12" borderId="9" xfId="0" applyFill="1" applyBorder="1"/>
    <xf numFmtId="0" fontId="0" fillId="12" borderId="0" xfId="0" applyFill="1" applyBorder="1"/>
    <xf numFmtId="0" fontId="0" fillId="12" borderId="29" xfId="0" applyFill="1" applyBorder="1"/>
    <xf numFmtId="0" fontId="0" fillId="12" borderId="10" xfId="0" applyFill="1" applyBorder="1"/>
    <xf numFmtId="0" fontId="9" fillId="12" borderId="0" xfId="0" applyFont="1" applyFill="1" applyBorder="1" applyAlignment="1">
      <alignment horizontal="center" vertical="center"/>
    </xf>
    <xf numFmtId="0" fontId="12" fillId="12" borderId="0" xfId="0" applyFont="1" applyFill="1" applyBorder="1" applyAlignment="1">
      <alignment horizontal="center" vertical="center"/>
    </xf>
    <xf numFmtId="0" fontId="0" fillId="12" borderId="32" xfId="0" applyFill="1" applyBorder="1"/>
    <xf numFmtId="0" fontId="10" fillId="12" borderId="0" xfId="0" applyFont="1" applyFill="1" applyBorder="1" applyAlignment="1">
      <alignment horizontal="center" vertical="center"/>
    </xf>
    <xf numFmtId="10" fontId="12" fillId="12" borderId="0" xfId="0" applyNumberFormat="1" applyFont="1" applyFill="1" applyBorder="1" applyAlignment="1">
      <alignment horizontal="center" vertical="center"/>
    </xf>
    <xf numFmtId="164" fontId="10" fillId="12" borderId="0" xfId="0" applyNumberFormat="1" applyFont="1" applyFill="1" applyBorder="1" applyAlignment="1">
      <alignment horizontal="center" vertical="center"/>
    </xf>
    <xf numFmtId="0" fontId="0" fillId="12" borderId="31" xfId="0" applyFill="1" applyBorder="1"/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Border="1" applyAlignment="1" applyProtection="1">
      <alignment vertical="center"/>
      <protection hidden="1"/>
    </xf>
    <xf numFmtId="164" fontId="1" fillId="3" borderId="7" xfId="0" applyNumberFormat="1" applyFont="1" applyFill="1" applyBorder="1" applyAlignment="1" applyProtection="1">
      <alignment horizontal="right" vertical="center"/>
      <protection hidden="1"/>
    </xf>
    <xf numFmtId="9" fontId="0" fillId="0" borderId="0" xfId="0" applyNumberFormat="1"/>
    <xf numFmtId="0" fontId="5" fillId="5" borderId="28" xfId="0" applyFont="1" applyFill="1" applyBorder="1" applyAlignment="1">
      <alignment horizontal="center" vertical="center" wrapText="1"/>
    </xf>
    <xf numFmtId="0" fontId="15" fillId="6" borderId="14" xfId="0" applyFont="1" applyFill="1" applyBorder="1" applyAlignment="1">
      <alignment horizontal="center" vertical="center"/>
    </xf>
    <xf numFmtId="0" fontId="15" fillId="6" borderId="16" xfId="0" applyFont="1" applyFill="1" applyBorder="1" applyAlignment="1">
      <alignment horizontal="center" vertical="center"/>
    </xf>
    <xf numFmtId="0" fontId="16" fillId="0" borderId="0" xfId="0" applyFont="1" applyBorder="1"/>
    <xf numFmtId="0" fontId="4" fillId="7" borderId="12" xfId="0" applyFont="1" applyFill="1" applyBorder="1" applyAlignment="1" applyProtection="1">
      <alignment horizontal="center" vertical="center"/>
      <protection locked="0"/>
    </xf>
    <xf numFmtId="164" fontId="4" fillId="8" borderId="13" xfId="0" applyNumberFormat="1" applyFont="1" applyFill="1" applyBorder="1" applyAlignment="1">
      <alignment horizontal="center" vertical="center"/>
    </xf>
    <xf numFmtId="0" fontId="4" fillId="7" borderId="14" xfId="0" applyFont="1" applyFill="1" applyBorder="1" applyAlignment="1" applyProtection="1">
      <alignment horizontal="center" vertical="center"/>
      <protection locked="0"/>
    </xf>
    <xf numFmtId="164" fontId="4" fillId="8" borderId="15" xfId="0" applyNumberFormat="1" applyFont="1" applyFill="1" applyBorder="1" applyAlignment="1">
      <alignment horizontal="center" vertical="center"/>
    </xf>
    <xf numFmtId="0" fontId="4" fillId="7" borderId="16" xfId="0" applyFont="1" applyFill="1" applyBorder="1" applyAlignment="1" applyProtection="1">
      <alignment horizontal="center" vertical="center"/>
      <protection locked="0"/>
    </xf>
    <xf numFmtId="164" fontId="4" fillId="8" borderId="18" xfId="0" applyNumberFormat="1" applyFont="1" applyFill="1" applyBorder="1" applyAlignment="1">
      <alignment horizontal="center" vertical="center"/>
    </xf>
    <xf numFmtId="0" fontId="16" fillId="12" borderId="0" xfId="0" applyFont="1" applyFill="1" applyBorder="1"/>
    <xf numFmtId="0" fontId="0" fillId="0" borderId="0" xfId="0" applyFont="1"/>
    <xf numFmtId="0" fontId="24" fillId="0" borderId="33" xfId="0" applyFont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0" xfId="0" applyFont="1" applyAlignment="1">
      <alignment horizontal="left" vertical="top"/>
    </xf>
    <xf numFmtId="0" fontId="24" fillId="0" borderId="33" xfId="0" applyFont="1" applyBorder="1" applyAlignment="1">
      <alignment horizontal="left" vertical="top" wrapText="1"/>
    </xf>
    <xf numFmtId="0" fontId="24" fillId="0" borderId="34" xfId="0" applyFont="1" applyBorder="1" applyAlignment="1">
      <alignment horizontal="left" vertical="center" wrapText="1"/>
    </xf>
    <xf numFmtId="0" fontId="23" fillId="0" borderId="34" xfId="0" applyFont="1" applyBorder="1" applyAlignment="1">
      <alignment horizontal="left" vertical="top" wrapText="1"/>
    </xf>
    <xf numFmtId="0" fontId="24" fillId="0" borderId="35" xfId="0" applyFont="1" applyBorder="1" applyAlignment="1">
      <alignment horizontal="left" vertical="top" wrapText="1"/>
    </xf>
    <xf numFmtId="0" fontId="25" fillId="0" borderId="35" xfId="0" applyFont="1" applyBorder="1" applyAlignment="1">
      <alignment horizontal="left" vertical="top" wrapText="1"/>
    </xf>
    <xf numFmtId="0" fontId="23" fillId="0" borderId="35" xfId="0" applyFont="1" applyBorder="1" applyAlignment="1">
      <alignment horizontal="left" vertical="top" wrapText="1"/>
    </xf>
    <xf numFmtId="164" fontId="9" fillId="12" borderId="0" xfId="0" applyNumberFormat="1" applyFont="1" applyFill="1" applyBorder="1" applyAlignment="1">
      <alignment vertical="center" wrapText="1"/>
    </xf>
    <xf numFmtId="0" fontId="0" fillId="7" borderId="0" xfId="0" applyFill="1"/>
    <xf numFmtId="0" fontId="27" fillId="5" borderId="21" xfId="0" applyFont="1" applyFill="1" applyBorder="1" applyAlignment="1">
      <alignment horizontal="center" vertical="center" wrapText="1"/>
    </xf>
    <xf numFmtId="0" fontId="14" fillId="7" borderId="36" xfId="0" applyFont="1" applyFill="1" applyBorder="1" applyAlignment="1">
      <alignment horizontal="center" vertical="center"/>
    </xf>
    <xf numFmtId="0" fontId="27" fillId="5" borderId="36" xfId="0" applyFont="1" applyFill="1" applyBorder="1" applyAlignment="1">
      <alignment horizontal="center" vertical="center"/>
    </xf>
    <xf numFmtId="0" fontId="30" fillId="5" borderId="4" xfId="0" applyFont="1" applyFill="1" applyBorder="1" applyAlignment="1">
      <alignment horizontal="center"/>
    </xf>
    <xf numFmtId="0" fontId="30" fillId="5" borderId="3" xfId="0" applyFont="1" applyFill="1" applyBorder="1" applyAlignment="1">
      <alignment horizontal="center"/>
    </xf>
    <xf numFmtId="0" fontId="30" fillId="5" borderId="22" xfId="0" applyFont="1" applyFill="1" applyBorder="1" applyAlignment="1">
      <alignment horizontal="center"/>
    </xf>
    <xf numFmtId="0" fontId="14" fillId="13" borderId="0" xfId="0" applyFont="1" applyFill="1" applyBorder="1" applyAlignment="1">
      <alignment horizontal="center" vertical="center"/>
    </xf>
    <xf numFmtId="0" fontId="29" fillId="5" borderId="36" xfId="0" applyFont="1" applyFill="1" applyBorder="1" applyAlignment="1">
      <alignment horizontal="center" vertical="center"/>
    </xf>
    <xf numFmtId="0" fontId="29" fillId="5" borderId="36" xfId="0" applyFont="1" applyFill="1" applyBorder="1" applyAlignment="1">
      <alignment horizontal="center" vertical="center" wrapText="1"/>
    </xf>
    <xf numFmtId="0" fontId="0" fillId="13" borderId="8" xfId="0" applyFill="1" applyBorder="1"/>
    <xf numFmtId="0" fontId="0" fillId="13" borderId="30" xfId="0" applyFill="1" applyBorder="1"/>
    <xf numFmtId="0" fontId="0" fillId="13" borderId="9" xfId="0" applyFill="1" applyBorder="1"/>
    <xf numFmtId="0" fontId="0" fillId="13" borderId="29" xfId="0" applyFill="1" applyBorder="1"/>
    <xf numFmtId="0" fontId="0" fillId="13" borderId="0" xfId="0" applyFill="1" applyBorder="1"/>
    <xf numFmtId="0" fontId="0" fillId="13" borderId="31" xfId="0" applyFill="1" applyBorder="1"/>
    <xf numFmtId="0" fontId="29" fillId="13" borderId="0" xfId="0" applyFont="1" applyFill="1" applyBorder="1" applyAlignment="1">
      <alignment wrapText="1"/>
    </xf>
    <xf numFmtId="0" fontId="0" fillId="13" borderId="32" xfId="0" applyFill="1" applyBorder="1"/>
    <xf numFmtId="0" fontId="0" fillId="13" borderId="10" xfId="0" applyFill="1" applyBorder="1"/>
    <xf numFmtId="0" fontId="0" fillId="13" borderId="11" xfId="0" applyFill="1" applyBorder="1"/>
    <xf numFmtId="0" fontId="24" fillId="0" borderId="33" xfId="0" applyFont="1" applyBorder="1" applyAlignment="1">
      <alignment horizontal="center" vertical="top" wrapText="1"/>
    </xf>
    <xf numFmtId="0" fontId="14" fillId="7" borderId="21" xfId="0" applyFont="1" applyFill="1" applyBorder="1" applyAlignment="1" applyProtection="1">
      <alignment horizontal="center" vertical="center"/>
      <protection locked="0"/>
    </xf>
    <xf numFmtId="0" fontId="14" fillId="7" borderId="36" xfId="0" applyFont="1" applyFill="1" applyBorder="1" applyAlignment="1" applyProtection="1">
      <alignment horizontal="center" vertical="center"/>
      <protection locked="0"/>
    </xf>
    <xf numFmtId="0" fontId="30" fillId="5" borderId="36" xfId="0" applyFont="1" applyFill="1" applyBorder="1" applyAlignment="1">
      <alignment horizontal="center" vertical="center"/>
    </xf>
    <xf numFmtId="2" fontId="1" fillId="0" borderId="37" xfId="0" applyNumberFormat="1" applyFont="1" applyFill="1" applyBorder="1" applyAlignment="1" applyProtection="1">
      <alignment horizontal="center"/>
      <protection hidden="1"/>
    </xf>
    <xf numFmtId="2" fontId="0" fillId="0" borderId="0" xfId="0" applyNumberFormat="1"/>
    <xf numFmtId="0" fontId="22" fillId="11" borderId="2" xfId="1" applyFont="1" applyFill="1" applyBorder="1" applyAlignment="1">
      <alignment horizontal="center"/>
    </xf>
    <xf numFmtId="0" fontId="15" fillId="11" borderId="2" xfId="0" applyFont="1" applyFill="1" applyBorder="1" applyAlignment="1">
      <alignment horizontal="center"/>
    </xf>
    <xf numFmtId="0" fontId="22" fillId="6" borderId="2" xfId="1" applyFont="1" applyFill="1" applyBorder="1" applyAlignment="1">
      <alignment horizontal="center"/>
    </xf>
    <xf numFmtId="0" fontId="15" fillId="6" borderId="2" xfId="0" applyFont="1" applyFill="1" applyBorder="1" applyAlignment="1">
      <alignment horizontal="center"/>
    </xf>
    <xf numFmtId="0" fontId="20" fillId="7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0" fontId="5" fillId="10" borderId="4" xfId="0" applyFont="1" applyFill="1" applyBorder="1" applyAlignment="1">
      <alignment horizontal="center" vertical="center"/>
    </xf>
    <xf numFmtId="0" fontId="5" fillId="10" borderId="3" xfId="0" applyFont="1" applyFill="1" applyBorder="1" applyAlignment="1">
      <alignment horizontal="center" vertical="center"/>
    </xf>
    <xf numFmtId="0" fontId="5" fillId="10" borderId="22" xfId="0" applyFont="1" applyFill="1" applyBorder="1" applyAlignment="1">
      <alignment horizontal="center" vertical="center"/>
    </xf>
    <xf numFmtId="164" fontId="13" fillId="13" borderId="19" xfId="0" applyNumberFormat="1" applyFont="1" applyFill="1" applyBorder="1" applyAlignment="1">
      <alignment horizontal="center" vertical="center"/>
    </xf>
    <xf numFmtId="164" fontId="13" fillId="13" borderId="20" xfId="0" applyNumberFormat="1" applyFont="1" applyFill="1" applyBorder="1" applyAlignment="1">
      <alignment horizontal="center" vertical="center"/>
    </xf>
    <xf numFmtId="164" fontId="13" fillId="13" borderId="21" xfId="0" applyNumberFormat="1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 wrapText="1"/>
    </xf>
    <xf numFmtId="0" fontId="5" fillId="6" borderId="22" xfId="0" applyFont="1" applyFill="1" applyBorder="1" applyAlignment="1">
      <alignment horizontal="center" vertical="center" wrapText="1"/>
    </xf>
    <xf numFmtId="0" fontId="5" fillId="11" borderId="4" xfId="0" applyFont="1" applyFill="1" applyBorder="1" applyAlignment="1">
      <alignment horizontal="center" vertical="center"/>
    </xf>
    <xf numFmtId="0" fontId="5" fillId="11" borderId="3" xfId="0" applyFont="1" applyFill="1" applyBorder="1" applyAlignment="1">
      <alignment horizontal="center" vertical="center"/>
    </xf>
    <xf numFmtId="0" fontId="5" fillId="11" borderId="22" xfId="0" applyFont="1" applyFill="1" applyBorder="1" applyAlignment="1">
      <alignment horizontal="center" vertical="center"/>
    </xf>
    <xf numFmtId="0" fontId="13" fillId="13" borderId="4" xfId="0" applyFont="1" applyFill="1" applyBorder="1" applyAlignment="1">
      <alignment horizontal="center" vertical="center"/>
    </xf>
    <xf numFmtId="0" fontId="13" fillId="13" borderId="3" xfId="0" applyFont="1" applyFill="1" applyBorder="1" applyAlignment="1">
      <alignment horizontal="center" vertical="center"/>
    </xf>
    <xf numFmtId="0" fontId="13" fillId="13" borderId="22" xfId="0" applyFont="1" applyFill="1" applyBorder="1" applyAlignment="1">
      <alignment horizontal="center" vertical="center"/>
    </xf>
    <xf numFmtId="0" fontId="5" fillId="11" borderId="4" xfId="0" applyFont="1" applyFill="1" applyBorder="1" applyAlignment="1">
      <alignment horizontal="center" vertical="center" wrapText="1"/>
    </xf>
    <xf numFmtId="0" fontId="5" fillId="11" borderId="3" xfId="0" applyFont="1" applyFill="1" applyBorder="1" applyAlignment="1">
      <alignment horizontal="center" vertical="center" wrapText="1"/>
    </xf>
    <xf numFmtId="0" fontId="5" fillId="11" borderId="22" xfId="0" applyFont="1" applyFill="1" applyBorder="1" applyAlignment="1">
      <alignment horizontal="center" vertical="center" wrapText="1"/>
    </xf>
    <xf numFmtId="0" fontId="13" fillId="13" borderId="20" xfId="0" applyFont="1" applyFill="1" applyBorder="1" applyAlignment="1">
      <alignment horizontal="center" vertical="center"/>
    </xf>
    <xf numFmtId="0" fontId="13" fillId="13" borderId="21" xfId="0" applyFont="1" applyFill="1" applyBorder="1" applyAlignment="1">
      <alignment horizontal="center" vertical="center"/>
    </xf>
    <xf numFmtId="10" fontId="18" fillId="13" borderId="19" xfId="0" applyNumberFormat="1" applyFont="1" applyFill="1" applyBorder="1" applyAlignment="1">
      <alignment horizontal="center" vertical="center"/>
    </xf>
    <xf numFmtId="10" fontId="18" fillId="13" borderId="20" xfId="0" applyNumberFormat="1" applyFont="1" applyFill="1" applyBorder="1" applyAlignment="1">
      <alignment horizontal="center" vertical="center"/>
    </xf>
    <xf numFmtId="10" fontId="18" fillId="13" borderId="21" xfId="0" applyNumberFormat="1" applyFont="1" applyFill="1" applyBorder="1" applyAlignment="1">
      <alignment horizontal="center" vertical="center"/>
    </xf>
    <xf numFmtId="164" fontId="18" fillId="13" borderId="19" xfId="0" applyNumberFormat="1" applyFont="1" applyFill="1" applyBorder="1" applyAlignment="1">
      <alignment horizontal="center" vertical="center"/>
    </xf>
    <xf numFmtId="0" fontId="18" fillId="13" borderId="20" xfId="0" applyFont="1" applyFill="1" applyBorder="1" applyAlignment="1">
      <alignment horizontal="center" vertical="center"/>
    </xf>
    <xf numFmtId="0" fontId="18" fillId="13" borderId="21" xfId="0" applyFont="1" applyFill="1" applyBorder="1" applyAlignment="1">
      <alignment horizontal="center" vertical="center"/>
    </xf>
    <xf numFmtId="164" fontId="19" fillId="13" borderId="19" xfId="0" applyNumberFormat="1" applyFont="1" applyFill="1" applyBorder="1" applyAlignment="1">
      <alignment horizontal="center" vertical="center"/>
    </xf>
    <xf numFmtId="0" fontId="19" fillId="13" borderId="20" xfId="0" applyFont="1" applyFill="1" applyBorder="1" applyAlignment="1">
      <alignment horizontal="center" vertical="center"/>
    </xf>
    <xf numFmtId="0" fontId="19" fillId="13" borderId="21" xfId="0" applyFont="1" applyFill="1" applyBorder="1" applyAlignment="1">
      <alignment horizontal="center" vertical="center"/>
    </xf>
    <xf numFmtId="164" fontId="17" fillId="9" borderId="19" xfId="0" applyNumberFormat="1" applyFont="1" applyFill="1" applyBorder="1" applyAlignment="1">
      <alignment horizontal="center" vertical="center"/>
    </xf>
    <xf numFmtId="0" fontId="17" fillId="9" borderId="20" xfId="0" applyFont="1" applyFill="1" applyBorder="1" applyAlignment="1">
      <alignment horizontal="center" vertical="center"/>
    </xf>
    <xf numFmtId="0" fontId="17" fillId="9" borderId="21" xfId="0" applyFont="1" applyFill="1" applyBorder="1" applyAlignment="1">
      <alignment horizontal="center" vertical="center"/>
    </xf>
    <xf numFmtId="164" fontId="31" fillId="9" borderId="8" xfId="0" applyNumberFormat="1" applyFont="1" applyFill="1" applyBorder="1" applyAlignment="1">
      <alignment horizontal="center" vertical="center" wrapText="1"/>
    </xf>
    <xf numFmtId="164" fontId="31" fillId="9" borderId="9" xfId="0" applyNumberFormat="1" applyFont="1" applyFill="1" applyBorder="1" applyAlignment="1">
      <alignment horizontal="center" vertical="center" wrapText="1"/>
    </xf>
    <xf numFmtId="164" fontId="31" fillId="9" borderId="29" xfId="0" applyNumberFormat="1" applyFont="1" applyFill="1" applyBorder="1" applyAlignment="1">
      <alignment horizontal="center" vertical="center" wrapText="1"/>
    </xf>
    <xf numFmtId="164" fontId="31" fillId="9" borderId="31" xfId="0" applyNumberFormat="1" applyFont="1" applyFill="1" applyBorder="1" applyAlignment="1">
      <alignment horizontal="center" vertical="center" wrapText="1"/>
    </xf>
    <xf numFmtId="164" fontId="31" fillId="9" borderId="10" xfId="0" applyNumberFormat="1" applyFont="1" applyFill="1" applyBorder="1" applyAlignment="1">
      <alignment horizontal="center" vertical="center" wrapText="1"/>
    </xf>
    <xf numFmtId="164" fontId="31" fillId="9" borderId="11" xfId="0" applyNumberFormat="1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/>
    </xf>
    <xf numFmtId="0" fontId="5" fillId="5" borderId="22" xfId="0" applyFont="1" applyFill="1" applyBorder="1" applyAlignment="1">
      <alignment horizontal="center" vertical="center"/>
    </xf>
    <xf numFmtId="0" fontId="8" fillId="7" borderId="4" xfId="0" applyFont="1" applyFill="1" applyBorder="1" applyAlignment="1" applyProtection="1">
      <alignment horizontal="center" vertical="center"/>
      <protection locked="0"/>
    </xf>
    <xf numFmtId="0" fontId="8" fillId="7" borderId="22" xfId="0" applyFont="1" applyFill="1" applyBorder="1" applyAlignment="1" applyProtection="1">
      <alignment horizontal="center" vertical="center"/>
      <protection locked="0"/>
    </xf>
    <xf numFmtId="0" fontId="14" fillId="7" borderId="4" xfId="0" applyFont="1" applyFill="1" applyBorder="1" applyAlignment="1">
      <alignment horizontal="center" vertical="center"/>
    </xf>
    <xf numFmtId="0" fontId="14" fillId="7" borderId="3" xfId="0" applyFont="1" applyFill="1" applyBorder="1" applyAlignment="1">
      <alignment horizontal="center" vertical="center"/>
    </xf>
    <xf numFmtId="0" fontId="14" fillId="7" borderId="22" xfId="0" applyFont="1" applyFill="1" applyBorder="1" applyAlignment="1">
      <alignment horizontal="center" vertical="center"/>
    </xf>
    <xf numFmtId="164" fontId="36" fillId="0" borderId="19" xfId="0" applyNumberFormat="1" applyFont="1" applyFill="1" applyBorder="1" applyAlignment="1">
      <alignment horizontal="center" vertical="center" wrapText="1"/>
    </xf>
    <xf numFmtId="164" fontId="36" fillId="0" borderId="20" xfId="0" applyNumberFormat="1" applyFont="1" applyFill="1" applyBorder="1" applyAlignment="1">
      <alignment horizontal="center" vertical="center" wrapText="1"/>
    </xf>
    <xf numFmtId="164" fontId="36" fillId="0" borderId="21" xfId="0" applyNumberFormat="1" applyFont="1" applyFill="1" applyBorder="1" applyAlignment="1">
      <alignment horizontal="center" vertical="center" wrapText="1"/>
    </xf>
    <xf numFmtId="164" fontId="26" fillId="0" borderId="19" xfId="0" applyNumberFormat="1" applyFont="1" applyFill="1" applyBorder="1" applyAlignment="1">
      <alignment horizontal="center" vertical="center"/>
    </xf>
    <xf numFmtId="164" fontId="26" fillId="0" borderId="20" xfId="0" applyNumberFormat="1" applyFont="1" applyFill="1" applyBorder="1" applyAlignment="1">
      <alignment horizontal="center" vertical="center"/>
    </xf>
    <xf numFmtId="164" fontId="26" fillId="0" borderId="21" xfId="0" applyNumberFormat="1" applyFont="1" applyFill="1" applyBorder="1" applyAlignment="1">
      <alignment horizontal="center" vertical="center"/>
    </xf>
    <xf numFmtId="3" fontId="10" fillId="0" borderId="8" xfId="0" applyNumberFormat="1" applyFont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 vertical="center"/>
    </xf>
    <xf numFmtId="3" fontId="10" fillId="0" borderId="10" xfId="0" applyNumberFormat="1" applyFont="1" applyBorder="1" applyAlignment="1">
      <alignment horizontal="center" vertical="center"/>
    </xf>
    <xf numFmtId="3" fontId="10" fillId="0" borderId="11" xfId="0" applyNumberFormat="1" applyFont="1" applyBorder="1" applyAlignment="1">
      <alignment horizontal="center" vertical="center"/>
    </xf>
    <xf numFmtId="164" fontId="10" fillId="0" borderId="8" xfId="0" applyNumberFormat="1" applyFont="1" applyFill="1" applyBorder="1" applyAlignment="1">
      <alignment horizontal="center" vertical="center"/>
    </xf>
    <xf numFmtId="164" fontId="10" fillId="0" borderId="9" xfId="0" applyNumberFormat="1" applyFont="1" applyFill="1" applyBorder="1" applyAlignment="1">
      <alignment horizontal="center" vertical="center"/>
    </xf>
    <xf numFmtId="164" fontId="10" fillId="0" borderId="10" xfId="0" applyNumberFormat="1" applyFont="1" applyFill="1" applyBorder="1" applyAlignment="1">
      <alignment horizontal="center" vertical="center"/>
    </xf>
    <xf numFmtId="164" fontId="10" fillId="0" borderId="11" xfId="0" applyNumberFormat="1" applyFont="1" applyFill="1" applyBorder="1" applyAlignment="1">
      <alignment horizontal="center" vertical="center"/>
    </xf>
    <xf numFmtId="164" fontId="10" fillId="0" borderId="8" xfId="0" applyNumberFormat="1" applyFont="1" applyBorder="1" applyAlignment="1">
      <alignment horizontal="center" vertical="center"/>
    </xf>
    <xf numFmtId="164" fontId="10" fillId="0" borderId="9" xfId="0" applyNumberFormat="1" applyFont="1" applyBorder="1" applyAlignment="1">
      <alignment horizontal="center" vertical="center"/>
    </xf>
    <xf numFmtId="164" fontId="10" fillId="0" borderId="10" xfId="0" applyNumberFormat="1" applyFont="1" applyBorder="1" applyAlignment="1">
      <alignment horizontal="center" vertical="center"/>
    </xf>
    <xf numFmtId="164" fontId="10" fillId="0" borderId="11" xfId="0" applyNumberFormat="1" applyFont="1" applyBorder="1" applyAlignment="1">
      <alignment horizontal="center" vertical="center"/>
    </xf>
    <xf numFmtId="0" fontId="14" fillId="7" borderId="19" xfId="0" applyFont="1" applyFill="1" applyBorder="1" applyAlignment="1" applyProtection="1">
      <alignment horizontal="center" vertical="center"/>
      <protection locked="0"/>
    </xf>
    <xf numFmtId="0" fontId="14" fillId="7" borderId="21" xfId="0" applyFont="1" applyFill="1" applyBorder="1" applyAlignment="1" applyProtection="1">
      <alignment horizontal="center" vertical="center"/>
      <protection locked="0"/>
    </xf>
    <xf numFmtId="0" fontId="14" fillId="14" borderId="19" xfId="0" applyFont="1" applyFill="1" applyBorder="1" applyAlignment="1">
      <alignment horizontal="center" vertical="center"/>
    </xf>
    <xf numFmtId="0" fontId="14" fillId="14" borderId="21" xfId="0" applyFont="1" applyFill="1" applyBorder="1" applyAlignment="1">
      <alignment horizontal="center" vertical="center"/>
    </xf>
    <xf numFmtId="0" fontId="5" fillId="9" borderId="8" xfId="0" applyFont="1" applyFill="1" applyBorder="1" applyAlignment="1">
      <alignment horizontal="center" vertical="center"/>
    </xf>
    <xf numFmtId="0" fontId="5" fillId="9" borderId="30" xfId="0" applyFont="1" applyFill="1" applyBorder="1" applyAlignment="1">
      <alignment horizontal="center" vertical="center"/>
    </xf>
    <xf numFmtId="0" fontId="5" fillId="9" borderId="9" xfId="0" applyFont="1" applyFill="1" applyBorder="1" applyAlignment="1">
      <alignment horizontal="center" vertical="center"/>
    </xf>
    <xf numFmtId="0" fontId="5" fillId="9" borderId="10" xfId="0" applyFont="1" applyFill="1" applyBorder="1" applyAlignment="1">
      <alignment horizontal="center" vertical="center"/>
    </xf>
    <xf numFmtId="0" fontId="5" fillId="9" borderId="32" xfId="0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29" fillId="6" borderId="8" xfId="0" applyFont="1" applyFill="1" applyBorder="1" applyAlignment="1">
      <alignment horizontal="center" vertical="center" wrapText="1"/>
    </xf>
    <xf numFmtId="0" fontId="29" fillId="6" borderId="9" xfId="0" applyFont="1" applyFill="1" applyBorder="1" applyAlignment="1">
      <alignment horizontal="center" vertical="center" wrapText="1"/>
    </xf>
    <xf numFmtId="0" fontId="29" fillId="6" borderId="29" xfId="0" applyFont="1" applyFill="1" applyBorder="1" applyAlignment="1">
      <alignment horizontal="center" vertical="center" wrapText="1"/>
    </xf>
    <xf numFmtId="0" fontId="29" fillId="6" borderId="31" xfId="0" applyFont="1" applyFill="1" applyBorder="1" applyAlignment="1">
      <alignment horizontal="center" vertical="center" wrapText="1"/>
    </xf>
    <xf numFmtId="0" fontId="29" fillId="10" borderId="8" xfId="0" applyFont="1" applyFill="1" applyBorder="1" applyAlignment="1">
      <alignment horizontal="center" vertical="center" wrapText="1"/>
    </xf>
    <xf numFmtId="0" fontId="29" fillId="10" borderId="9" xfId="0" applyFont="1" applyFill="1" applyBorder="1" applyAlignment="1">
      <alignment horizontal="center" vertical="center" wrapText="1"/>
    </xf>
    <xf numFmtId="0" fontId="29" fillId="10" borderId="29" xfId="0" applyFont="1" applyFill="1" applyBorder="1" applyAlignment="1">
      <alignment horizontal="center" vertical="center" wrapText="1"/>
    </xf>
    <xf numFmtId="0" fontId="29" fillId="10" borderId="31" xfId="0" applyFont="1" applyFill="1" applyBorder="1" applyAlignment="1">
      <alignment horizontal="center" vertical="center" wrapText="1"/>
    </xf>
    <xf numFmtId="0" fontId="29" fillId="15" borderId="8" xfId="0" applyFont="1" applyFill="1" applyBorder="1" applyAlignment="1">
      <alignment horizontal="center" vertical="center" wrapText="1"/>
    </xf>
    <xf numFmtId="0" fontId="29" fillId="15" borderId="9" xfId="0" applyFont="1" applyFill="1" applyBorder="1" applyAlignment="1">
      <alignment horizontal="center" vertical="center" wrapText="1"/>
    </xf>
    <xf numFmtId="0" fontId="29" fillId="15" borderId="29" xfId="0" applyFont="1" applyFill="1" applyBorder="1" applyAlignment="1">
      <alignment horizontal="center" vertical="center" wrapText="1"/>
    </xf>
    <xf numFmtId="0" fontId="29" fillId="15" borderId="31" xfId="0" applyFont="1" applyFill="1" applyBorder="1" applyAlignment="1">
      <alignment horizontal="center" vertical="center" wrapText="1"/>
    </xf>
    <xf numFmtId="0" fontId="29" fillId="5" borderId="19" xfId="0" applyFont="1" applyFill="1" applyBorder="1" applyAlignment="1">
      <alignment horizontal="center" vertical="center" wrapText="1"/>
    </xf>
    <xf numFmtId="0" fontId="29" fillId="5" borderId="21" xfId="0" applyFont="1" applyFill="1" applyBorder="1" applyAlignment="1">
      <alignment horizontal="center" vertical="center" wrapText="1"/>
    </xf>
    <xf numFmtId="0" fontId="15" fillId="16" borderId="23" xfId="0" applyFont="1" applyFill="1" applyBorder="1" applyAlignment="1" applyProtection="1">
      <alignment horizontal="center" vertical="center"/>
      <protection locked="0"/>
    </xf>
    <xf numFmtId="0" fontId="15" fillId="16" borderId="14" xfId="0" applyFont="1" applyFill="1" applyBorder="1" applyAlignment="1" applyProtection="1">
      <alignment horizontal="center" vertical="center"/>
      <protection locked="0"/>
    </xf>
    <xf numFmtId="0" fontId="37" fillId="0" borderId="0" xfId="0" applyFont="1"/>
    <xf numFmtId="0" fontId="14" fillId="0" borderId="0" xfId="0" applyFont="1" applyFill="1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321466895084626E-2"/>
          <c:y val="0.10434060862122908"/>
          <c:w val="0.46911781931972446"/>
          <c:h val="0.7731977911257174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rgbClr val="FF0000"/>
              </a:solidFill>
            </c:spPr>
          </c:dPt>
          <c:dPt>
            <c:idx val="2"/>
            <c:bubble3D val="0"/>
            <c:spPr>
              <a:solidFill>
                <a:srgbClr val="00B050"/>
              </a:solidFill>
            </c:spPr>
          </c:dPt>
          <c:dPt>
            <c:idx val="3"/>
            <c:bubble3D val="0"/>
            <c:spPr>
              <a:solidFill>
                <a:schemeClr val="tx1">
                  <a:lumMod val="95000"/>
                  <a:lumOff val="5000"/>
                </a:schemeClr>
              </a:solidFill>
            </c:spPr>
          </c:dPt>
          <c:dLbls>
            <c:dLbl>
              <c:idx val="1"/>
              <c:layout>
                <c:manualLayout>
                  <c:x val="5.6673459590730245E-2"/>
                  <c:y val="-4.474547697049462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7829242413783727"/>
                  <c:y val="1.3682643684996669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6394544429593094"/>
                  <c:y val="7.799106900448100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>
                    <a:solidFill>
                      <a:schemeClr val="tx1"/>
                    </a:solidFill>
                  </a:defRPr>
                </a:pPr>
                <a:endParaRPr lang="tr-T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Sheet1!$A$30:$A$33</c:f>
              <c:strCache>
                <c:ptCount val="4"/>
                <c:pt idx="0">
                  <c:v>Üretim-hammadde</c:v>
                </c:pt>
                <c:pt idx="1">
                  <c:v>Üretim-enerji</c:v>
                </c:pt>
                <c:pt idx="2">
                  <c:v>Hammadde nakliye</c:v>
                </c:pt>
                <c:pt idx="3">
                  <c:v>Beton nakliye</c:v>
                </c:pt>
              </c:strCache>
            </c:strRef>
          </c:cat>
          <c:val>
            <c:numRef>
              <c:f>Sheet1!$B$30:$B$33</c:f>
              <c:numCache>
                <c:formatCode>0.0</c:formatCode>
                <c:ptCount val="4"/>
                <c:pt idx="0">
                  <c:v>288.46280000000002</c:v>
                </c:pt>
                <c:pt idx="1">
                  <c:v>1.6</c:v>
                </c:pt>
                <c:pt idx="2">
                  <c:v>14.796296296296296</c:v>
                </c:pt>
                <c:pt idx="3">
                  <c:v>4.6500000000000004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7679554971603375"/>
          <c:y val="0.11073194243854731"/>
          <c:w val="0.40432127370743176"/>
          <c:h val="0.77853567733996076"/>
        </c:manualLayout>
      </c:layout>
      <c:overlay val="0"/>
      <c:txPr>
        <a:bodyPr/>
        <a:lstStyle/>
        <a:p>
          <a:pPr>
            <a:defRPr sz="1400"/>
          </a:pPr>
          <a:endParaRPr lang="tr-T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7</xdr:row>
      <xdr:rowOff>90489</xdr:rowOff>
    </xdr:from>
    <xdr:to>
      <xdr:col>13</xdr:col>
      <xdr:colOff>1148219</xdr:colOff>
      <xdr:row>19</xdr:row>
      <xdr:rowOff>143527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45146</xdr:colOff>
      <xdr:row>3</xdr:row>
      <xdr:rowOff>169623</xdr:rowOff>
    </xdr:from>
    <xdr:to>
      <xdr:col>6</xdr:col>
      <xdr:colOff>861164</xdr:colOff>
      <xdr:row>3</xdr:row>
      <xdr:rowOff>430582</xdr:rowOff>
    </xdr:to>
    <xdr:sp macro="" textlink="">
      <xdr:nvSpPr>
        <xdr:cNvPr id="2" name="Right Arrow 1"/>
        <xdr:cNvSpPr/>
      </xdr:nvSpPr>
      <xdr:spPr>
        <a:xfrm>
          <a:off x="6817030" y="1396130"/>
          <a:ext cx="816018" cy="260959"/>
        </a:xfrm>
        <a:prstGeom prst="right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6</xdr:col>
      <xdr:colOff>54671</xdr:colOff>
      <xdr:row>4</xdr:row>
      <xdr:rowOff>150573</xdr:rowOff>
    </xdr:from>
    <xdr:to>
      <xdr:col>6</xdr:col>
      <xdr:colOff>870689</xdr:colOff>
      <xdr:row>4</xdr:row>
      <xdr:rowOff>411532</xdr:rowOff>
    </xdr:to>
    <xdr:sp macro="" textlink="">
      <xdr:nvSpPr>
        <xdr:cNvPr id="5" name="Right Arrow 4"/>
        <xdr:cNvSpPr/>
      </xdr:nvSpPr>
      <xdr:spPr>
        <a:xfrm>
          <a:off x="6826555" y="1964237"/>
          <a:ext cx="816018" cy="260959"/>
        </a:xfrm>
        <a:prstGeom prst="right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6</xdr:col>
      <xdr:colOff>54671</xdr:colOff>
      <xdr:row>5</xdr:row>
      <xdr:rowOff>169623</xdr:rowOff>
    </xdr:from>
    <xdr:to>
      <xdr:col>6</xdr:col>
      <xdr:colOff>870689</xdr:colOff>
      <xdr:row>5</xdr:row>
      <xdr:rowOff>430582</xdr:rowOff>
    </xdr:to>
    <xdr:sp macro="" textlink="">
      <xdr:nvSpPr>
        <xdr:cNvPr id="6" name="Right Arrow 5"/>
        <xdr:cNvSpPr/>
      </xdr:nvSpPr>
      <xdr:spPr>
        <a:xfrm>
          <a:off x="6826555" y="2570445"/>
          <a:ext cx="816018" cy="260959"/>
        </a:xfrm>
        <a:prstGeom prst="right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6</xdr:col>
      <xdr:colOff>54671</xdr:colOff>
      <xdr:row>6</xdr:row>
      <xdr:rowOff>160098</xdr:rowOff>
    </xdr:from>
    <xdr:to>
      <xdr:col>6</xdr:col>
      <xdr:colOff>870689</xdr:colOff>
      <xdr:row>6</xdr:row>
      <xdr:rowOff>421057</xdr:rowOff>
    </xdr:to>
    <xdr:sp macro="" textlink="">
      <xdr:nvSpPr>
        <xdr:cNvPr id="7" name="Right Arrow 6"/>
        <xdr:cNvSpPr/>
      </xdr:nvSpPr>
      <xdr:spPr>
        <a:xfrm>
          <a:off x="6826555" y="3148077"/>
          <a:ext cx="816018" cy="260959"/>
        </a:xfrm>
        <a:prstGeom prst="right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6</xdr:col>
      <xdr:colOff>54671</xdr:colOff>
      <xdr:row>7</xdr:row>
      <xdr:rowOff>160098</xdr:rowOff>
    </xdr:from>
    <xdr:to>
      <xdr:col>6</xdr:col>
      <xdr:colOff>870689</xdr:colOff>
      <xdr:row>7</xdr:row>
      <xdr:rowOff>421057</xdr:rowOff>
    </xdr:to>
    <xdr:sp macro="" textlink="">
      <xdr:nvSpPr>
        <xdr:cNvPr id="8" name="Right Arrow 7"/>
        <xdr:cNvSpPr/>
      </xdr:nvSpPr>
      <xdr:spPr>
        <a:xfrm>
          <a:off x="6826555" y="3735235"/>
          <a:ext cx="816018" cy="260959"/>
        </a:xfrm>
        <a:prstGeom prst="right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yasin.engin@gmail.com" TargetMode="External"/><Relationship Id="rId1" Type="http://schemas.openxmlformats.org/officeDocument/2006/relationships/hyperlink" Target="http://www.betonvecimento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4:L19"/>
  <sheetViews>
    <sheetView showGridLines="0" workbookViewId="0">
      <selection activeCell="Q8" sqref="Q8"/>
    </sheetView>
  </sheetViews>
  <sheetFormatPr defaultRowHeight="15" x14ac:dyDescent="0.25"/>
  <sheetData>
    <row r="4" spans="2:12" x14ac:dyDescent="0.25">
      <c r="B4" s="106" t="s">
        <v>98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</row>
    <row r="5" spans="2:12" x14ac:dyDescent="0.25"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2:12" ht="4.5" customHeight="1" x14ac:dyDescent="0.25"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</row>
    <row r="7" spans="2:12" hidden="1" x14ac:dyDescent="0.25"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</row>
    <row r="8" spans="2:12" x14ac:dyDescent="0.25"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</row>
    <row r="9" spans="2:12" x14ac:dyDescent="0.25"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</row>
    <row r="10" spans="2:12" x14ac:dyDescent="0.25"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</row>
    <row r="12" spans="2:12" x14ac:dyDescent="0.25">
      <c r="B12" s="107" t="s">
        <v>45</v>
      </c>
      <c r="C12" s="107"/>
      <c r="D12" s="107"/>
      <c r="E12" s="107"/>
      <c r="F12" s="107"/>
      <c r="G12" s="107"/>
      <c r="H12" s="107"/>
      <c r="I12" s="107"/>
      <c r="J12" s="107"/>
      <c r="K12" s="107"/>
      <c r="L12" s="107"/>
    </row>
    <row r="13" spans="2:12" x14ac:dyDescent="0.25"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</row>
    <row r="14" spans="2:12" x14ac:dyDescent="0.25"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</row>
    <row r="15" spans="2:12" x14ac:dyDescent="0.25"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</row>
    <row r="17" spans="2:12" ht="18.75" x14ac:dyDescent="0.3">
      <c r="B17" s="102" t="s">
        <v>46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</row>
    <row r="19" spans="2:12" ht="18.75" x14ac:dyDescent="0.3">
      <c r="B19" s="104" t="s">
        <v>47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</row>
  </sheetData>
  <sheetProtection password="CE28" sheet="1" objects="1" scenarios="1"/>
  <mergeCells count="4">
    <mergeCell ref="B17:L17"/>
    <mergeCell ref="B19:L19"/>
    <mergeCell ref="B4:L10"/>
    <mergeCell ref="B12:L15"/>
  </mergeCells>
  <hyperlinks>
    <hyperlink ref="B17" r:id="rId1"/>
    <hyperlink ref="B1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3"/>
  <sheetViews>
    <sheetView showGridLines="0" showRowColHeaders="0" tabSelected="1" zoomScale="76" zoomScaleNormal="76" workbookViewId="0">
      <selection activeCell="B14" sqref="B14:I14"/>
    </sheetView>
  </sheetViews>
  <sheetFormatPr defaultRowHeight="15" x14ac:dyDescent="0.25"/>
  <cols>
    <col min="1" max="1" width="1.42578125" customWidth="1"/>
    <col min="2" max="3" width="25" customWidth="1"/>
    <col min="4" max="4" width="10.140625" hidden="1" customWidth="1"/>
    <col min="5" max="6" width="25" customWidth="1"/>
    <col min="7" max="7" width="13.5703125" customWidth="1"/>
    <col min="8" max="8" width="25" customWidth="1"/>
    <col min="9" max="9" width="26" customWidth="1"/>
    <col min="10" max="10" width="3.7109375" customWidth="1"/>
    <col min="11" max="13" width="14.42578125" customWidth="1"/>
    <col min="14" max="14" width="17.7109375" customWidth="1"/>
  </cols>
  <sheetData>
    <row r="1" spans="1:14" ht="6.75" customHeight="1" thickBot="1" x14ac:dyDescent="0.3">
      <c r="A1" s="37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9"/>
    </row>
    <row r="2" spans="1:14" ht="49.5" customHeight="1" thickBot="1" x14ac:dyDescent="0.3">
      <c r="A2" s="41"/>
      <c r="B2" s="108" t="s">
        <v>44</v>
      </c>
      <c r="C2" s="109"/>
      <c r="D2" s="109"/>
      <c r="E2" s="109"/>
      <c r="F2" s="110"/>
      <c r="G2" s="40"/>
      <c r="H2" s="114" t="s">
        <v>23</v>
      </c>
      <c r="I2" s="115"/>
      <c r="J2" s="40"/>
      <c r="K2" s="116" t="s">
        <v>41</v>
      </c>
      <c r="L2" s="117"/>
      <c r="M2" s="117"/>
      <c r="N2" s="118"/>
    </row>
    <row r="3" spans="1:14" ht="45.75" customHeight="1" thickBot="1" x14ac:dyDescent="0.3">
      <c r="A3" s="41"/>
      <c r="B3" s="21" t="s">
        <v>42</v>
      </c>
      <c r="C3" s="22" t="s">
        <v>17</v>
      </c>
      <c r="D3" s="22"/>
      <c r="E3" s="22" t="s">
        <v>21</v>
      </c>
      <c r="F3" s="23" t="s">
        <v>18</v>
      </c>
      <c r="G3" s="40"/>
      <c r="H3" s="24" t="s">
        <v>22</v>
      </c>
      <c r="I3" s="54" t="s">
        <v>39</v>
      </c>
      <c r="J3" s="40"/>
      <c r="K3" s="119">
        <f>Sheet1!O3*Sheet1!O4</f>
        <v>1.6</v>
      </c>
      <c r="L3" s="120"/>
      <c r="M3" s="120"/>
      <c r="N3" s="121"/>
    </row>
    <row r="4" spans="1:14" ht="46.5" customHeight="1" thickBot="1" x14ac:dyDescent="0.3">
      <c r="A4" s="41"/>
      <c r="B4" s="197" t="s">
        <v>32</v>
      </c>
      <c r="C4" s="26">
        <v>300</v>
      </c>
      <c r="D4" s="18">
        <f>LOOKUP(B4,Sheet1!A13:A26,Sheet1!H13:H26)</f>
        <v>923.8</v>
      </c>
      <c r="E4" s="19">
        <f>C4*D4/1000</f>
        <v>277.14</v>
      </c>
      <c r="F4" s="20">
        <f>E4/$E$9</f>
        <v>0.96074779832962853</v>
      </c>
      <c r="G4" s="40"/>
      <c r="H4" s="58">
        <v>10</v>
      </c>
      <c r="I4" s="59">
        <f>H4*Sheet1!$M$4*Sheet1!$M$3/Sheet1!$M$5</f>
        <v>0.43518518518518517</v>
      </c>
      <c r="J4" s="40"/>
      <c r="K4" s="40"/>
      <c r="L4" s="40"/>
      <c r="M4" s="40"/>
      <c r="N4" s="49"/>
    </row>
    <row r="5" spans="1:14" ht="46.5" customHeight="1" thickBot="1" x14ac:dyDescent="0.3">
      <c r="A5" s="41"/>
      <c r="B5" s="198" t="s">
        <v>89</v>
      </c>
      <c r="C5" s="27">
        <v>0</v>
      </c>
      <c r="D5" s="11">
        <f>IF(B5="UÇUCU KÜL",Sheet1!J5,IF(B5="Y.F.CÜRUFU",Sheet1!J6,Sheet1!J7))</f>
        <v>1.5128626454764702</v>
      </c>
      <c r="E5" s="12">
        <f t="shared" ref="E5:E8" si="0">C5*D5/1000</f>
        <v>0</v>
      </c>
      <c r="F5" s="13">
        <f t="shared" ref="F5:F8" si="1">E5/$E$9</f>
        <v>0</v>
      </c>
      <c r="G5" s="40"/>
      <c r="H5" s="60">
        <v>300</v>
      </c>
      <c r="I5" s="61">
        <f>H5*Sheet1!$M$4*Sheet1!$M$3/Sheet1!$M$5</f>
        <v>13.055555555555555</v>
      </c>
      <c r="J5" s="40"/>
      <c r="K5" s="122" t="s">
        <v>97</v>
      </c>
      <c r="L5" s="123"/>
      <c r="M5" s="123"/>
      <c r="N5" s="124"/>
    </row>
    <row r="6" spans="1:14" ht="46.5" customHeight="1" thickBot="1" x14ac:dyDescent="0.3">
      <c r="A6" s="41"/>
      <c r="B6" s="55" t="s">
        <v>14</v>
      </c>
      <c r="C6" s="27">
        <v>160</v>
      </c>
      <c r="D6" s="11">
        <f>Sheet1!B7</f>
        <v>0.93</v>
      </c>
      <c r="E6" s="12">
        <f t="shared" si="0"/>
        <v>0.14880000000000002</v>
      </c>
      <c r="F6" s="13">
        <f t="shared" si="1"/>
        <v>5.1583774406959934E-4</v>
      </c>
      <c r="G6" s="40"/>
      <c r="H6" s="60">
        <v>0</v>
      </c>
      <c r="I6" s="61">
        <f>H6*Sheet1!$M$4*Sheet1!$M$3/Sheet1!$M$5</f>
        <v>0</v>
      </c>
      <c r="J6" s="40"/>
      <c r="K6" s="145" t="s">
        <v>22</v>
      </c>
      <c r="L6" s="146"/>
      <c r="M6" s="147" t="s">
        <v>21</v>
      </c>
      <c r="N6" s="148"/>
    </row>
    <row r="7" spans="1:14" ht="46.5" customHeight="1" thickBot="1" x14ac:dyDescent="0.3">
      <c r="A7" s="41"/>
      <c r="B7" s="55" t="s">
        <v>15</v>
      </c>
      <c r="C7" s="27">
        <v>1900</v>
      </c>
      <c r="D7" s="11">
        <f>Sheet1!B4</f>
        <v>5.36</v>
      </c>
      <c r="E7" s="12">
        <f t="shared" si="0"/>
        <v>10.183999999999999</v>
      </c>
      <c r="F7" s="13">
        <f t="shared" si="1"/>
        <v>3.530437893551612E-2</v>
      </c>
      <c r="G7" s="40"/>
      <c r="H7" s="60">
        <v>10</v>
      </c>
      <c r="I7" s="61">
        <f>H7*Sheet1!$M$4*Sheet1!$M$3/Sheet1!$M$5</f>
        <v>0.43518518518518517</v>
      </c>
      <c r="J7" s="40"/>
      <c r="K7" s="149">
        <v>10</v>
      </c>
      <c r="L7" s="150"/>
      <c r="M7" s="119">
        <f>K7*Sheet1!Q3*Sheet1!Q4/Sheet1!Q5+2.3</f>
        <v>4.6500000000000004</v>
      </c>
      <c r="N7" s="121"/>
    </row>
    <row r="8" spans="1:14" ht="46.5" customHeight="1" thickBot="1" x14ac:dyDescent="0.3">
      <c r="A8" s="41"/>
      <c r="B8" s="56" t="s">
        <v>40</v>
      </c>
      <c r="C8" s="28">
        <v>4.5</v>
      </c>
      <c r="D8" s="14">
        <f>Sheet1!B2</f>
        <v>220</v>
      </c>
      <c r="E8" s="15">
        <f t="shared" si="0"/>
        <v>0.99</v>
      </c>
      <c r="F8" s="16">
        <f t="shared" si="1"/>
        <v>3.4319849907856401E-3</v>
      </c>
      <c r="G8" s="40"/>
      <c r="H8" s="62">
        <v>20</v>
      </c>
      <c r="I8" s="63">
        <f>H8*Sheet1!$M$4*Sheet1!$M$3/Sheet1!$M$5</f>
        <v>0.87037037037037035</v>
      </c>
      <c r="J8" s="40"/>
      <c r="K8" s="40"/>
      <c r="L8" s="40"/>
      <c r="M8" s="40"/>
      <c r="N8" s="49"/>
    </row>
    <row r="9" spans="1:14" ht="19.5" hidden="1" thickBot="1" x14ac:dyDescent="0.35">
      <c r="A9" s="41"/>
      <c r="B9" s="57"/>
      <c r="C9" s="57"/>
      <c r="D9" s="57"/>
      <c r="E9" s="57">
        <f>SUM(E4:E8)</f>
        <v>288.46280000000002</v>
      </c>
      <c r="F9" s="57"/>
      <c r="G9" s="40"/>
      <c r="H9" s="57"/>
      <c r="I9" s="57"/>
      <c r="J9" s="40"/>
      <c r="K9" s="33"/>
      <c r="L9" s="33"/>
      <c r="M9" s="33"/>
      <c r="N9" s="34"/>
    </row>
    <row r="10" spans="1:14" ht="15" customHeight="1" x14ac:dyDescent="0.3">
      <c r="A10" s="41"/>
      <c r="B10" s="136" t="s">
        <v>19</v>
      </c>
      <c r="C10" s="130">
        <f t="shared" ref="C10:D10" si="2">SUM(C4:C8)</f>
        <v>2364.5</v>
      </c>
      <c r="D10" s="133">
        <f t="shared" si="2"/>
        <v>1151.6028626454763</v>
      </c>
      <c r="E10" s="111">
        <f>SUM(E4:E8)</f>
        <v>288.46280000000002</v>
      </c>
      <c r="F10" s="127">
        <f>SUM(F4:F8)</f>
        <v>0.99999999999999989</v>
      </c>
      <c r="G10" s="40"/>
      <c r="H10" s="64"/>
      <c r="I10" s="111">
        <f>SUM(I4:I9)</f>
        <v>14.796296296296296</v>
      </c>
      <c r="J10" s="40"/>
      <c r="K10" s="33"/>
      <c r="L10" s="33"/>
      <c r="M10" s="33"/>
      <c r="N10" s="34"/>
    </row>
    <row r="11" spans="1:14" ht="15" customHeight="1" x14ac:dyDescent="0.3">
      <c r="A11" s="41"/>
      <c r="B11" s="137"/>
      <c r="C11" s="131"/>
      <c r="D11" s="134"/>
      <c r="E11" s="125"/>
      <c r="F11" s="128"/>
      <c r="G11" s="40"/>
      <c r="H11" s="64"/>
      <c r="I11" s="112"/>
      <c r="J11" s="40"/>
      <c r="K11" s="33"/>
      <c r="L11" s="33"/>
      <c r="M11" s="33"/>
      <c r="N11" s="34"/>
    </row>
    <row r="12" spans="1:14" ht="9" customHeight="1" thickBot="1" x14ac:dyDescent="0.35">
      <c r="A12" s="41"/>
      <c r="B12" s="138"/>
      <c r="C12" s="132"/>
      <c r="D12" s="135"/>
      <c r="E12" s="126"/>
      <c r="F12" s="129"/>
      <c r="G12" s="40"/>
      <c r="H12" s="64"/>
      <c r="I12" s="113"/>
      <c r="J12" s="40"/>
      <c r="K12" s="33"/>
      <c r="L12" s="33"/>
      <c r="M12" s="33"/>
      <c r="N12" s="34"/>
    </row>
    <row r="13" spans="1:14" ht="15.75" customHeight="1" thickBot="1" x14ac:dyDescent="0.3">
      <c r="A13" s="41"/>
      <c r="B13" s="43"/>
      <c r="C13" s="44"/>
      <c r="D13" s="32"/>
      <c r="E13" s="46"/>
      <c r="F13" s="47"/>
      <c r="G13" s="40"/>
      <c r="H13" s="40"/>
      <c r="I13" s="48"/>
      <c r="J13" s="40"/>
      <c r="K13" s="33"/>
      <c r="L13" s="33"/>
      <c r="M13" s="33"/>
      <c r="N13" s="34"/>
    </row>
    <row r="14" spans="1:14" ht="16.5" customHeight="1" thickBot="1" x14ac:dyDescent="0.3">
      <c r="A14" s="41"/>
      <c r="B14" s="151" t="s">
        <v>43</v>
      </c>
      <c r="C14" s="152"/>
      <c r="D14" s="152"/>
      <c r="E14" s="152"/>
      <c r="F14" s="152"/>
      <c r="G14" s="152"/>
      <c r="H14" s="152"/>
      <c r="I14" s="153"/>
      <c r="J14" s="40"/>
      <c r="K14" s="33"/>
      <c r="L14" s="33"/>
      <c r="M14" s="33"/>
      <c r="N14" s="34"/>
    </row>
    <row r="15" spans="1:14" ht="11.25" customHeight="1" thickBot="1" x14ac:dyDescent="0.3">
      <c r="A15" s="41"/>
      <c r="B15" s="40"/>
      <c r="C15" s="40"/>
      <c r="D15" s="33"/>
      <c r="E15" s="40"/>
      <c r="F15" s="40"/>
      <c r="G15" s="40"/>
      <c r="H15" s="40"/>
      <c r="I15" s="40"/>
      <c r="J15" s="40"/>
      <c r="K15" s="33"/>
      <c r="L15" s="33"/>
      <c r="M15" s="33"/>
      <c r="N15" s="34"/>
    </row>
    <row r="16" spans="1:14" ht="15.75" hidden="1" thickBot="1" x14ac:dyDescent="0.3">
      <c r="A16" s="41"/>
      <c r="B16" s="40"/>
      <c r="C16" s="40"/>
      <c r="D16" s="33"/>
      <c r="E16" s="33"/>
      <c r="F16" s="33"/>
      <c r="G16" s="33"/>
      <c r="H16" s="33"/>
      <c r="I16" s="33"/>
      <c r="J16" s="40"/>
      <c r="K16" s="33"/>
      <c r="L16" s="33"/>
      <c r="M16" s="33"/>
      <c r="N16" s="34"/>
    </row>
    <row r="17" spans="1:14" ht="18" customHeight="1" x14ac:dyDescent="0.25">
      <c r="A17" s="41"/>
      <c r="B17" s="139" t="s">
        <v>76</v>
      </c>
      <c r="C17" s="140"/>
      <c r="D17" s="30"/>
      <c r="E17" s="154">
        <f>E10+I10+K3+M7</f>
        <v>309.50909629629632</v>
      </c>
      <c r="F17" s="75"/>
      <c r="G17" s="139" t="s">
        <v>90</v>
      </c>
      <c r="H17" s="140"/>
      <c r="I17" s="157">
        <f>0.63*C4*0.65*0.786</f>
        <v>96.560100000000006</v>
      </c>
      <c r="J17" s="40"/>
      <c r="K17" s="33"/>
      <c r="L17" s="33"/>
      <c r="M17" s="33"/>
      <c r="N17" s="34"/>
    </row>
    <row r="18" spans="1:14" ht="18" customHeight="1" x14ac:dyDescent="0.25">
      <c r="A18" s="41"/>
      <c r="B18" s="141"/>
      <c r="C18" s="142"/>
      <c r="D18" s="25"/>
      <c r="E18" s="155"/>
      <c r="F18" s="75"/>
      <c r="G18" s="141"/>
      <c r="H18" s="142"/>
      <c r="I18" s="158"/>
      <c r="J18" s="40"/>
      <c r="K18" s="33"/>
      <c r="L18" s="33"/>
      <c r="M18" s="33"/>
      <c r="N18" s="34"/>
    </row>
    <row r="19" spans="1:14" ht="18" customHeight="1" thickBot="1" x14ac:dyDescent="0.3">
      <c r="A19" s="41"/>
      <c r="B19" s="143"/>
      <c r="C19" s="144"/>
      <c r="D19" s="31"/>
      <c r="E19" s="156"/>
      <c r="F19" s="75"/>
      <c r="G19" s="143"/>
      <c r="H19" s="144"/>
      <c r="I19" s="159"/>
      <c r="J19" s="40"/>
      <c r="K19" s="33"/>
      <c r="L19" s="33"/>
      <c r="M19" s="33"/>
      <c r="N19" s="34"/>
    </row>
    <row r="20" spans="1:14" ht="15.75" thickBot="1" x14ac:dyDescent="0.3">
      <c r="A20" s="42"/>
      <c r="B20" s="45"/>
      <c r="C20" s="45"/>
      <c r="D20" s="35"/>
      <c r="E20" s="45"/>
      <c r="F20" s="45"/>
      <c r="G20" s="45"/>
      <c r="H20" s="45"/>
      <c r="I20" s="45"/>
      <c r="J20" s="45"/>
      <c r="K20" s="35"/>
      <c r="L20" s="35"/>
      <c r="M20" s="35"/>
      <c r="N20" s="36"/>
    </row>
    <row r="22" spans="1:14" x14ac:dyDescent="0.25">
      <c r="I22" s="199">
        <f>Sheet1!G29</f>
        <v>0.92</v>
      </c>
    </row>
    <row r="30" spans="1:14" x14ac:dyDescent="0.25">
      <c r="A30" s="65"/>
    </row>
    <row r="31" spans="1:14" x14ac:dyDescent="0.25">
      <c r="A31" s="65"/>
    </row>
    <row r="32" spans="1:14" x14ac:dyDescent="0.25">
      <c r="A32" s="65"/>
    </row>
    <row r="33" spans="1:1" x14ac:dyDescent="0.25">
      <c r="A33" s="65"/>
    </row>
  </sheetData>
  <sheetProtection password="CE28" sheet="1" objects="1" scenarios="1"/>
  <mergeCells count="20">
    <mergeCell ref="G17:H19"/>
    <mergeCell ref="K6:L6"/>
    <mergeCell ref="M6:N6"/>
    <mergeCell ref="K7:L7"/>
    <mergeCell ref="M7:N7"/>
    <mergeCell ref="B14:I14"/>
    <mergeCell ref="B17:C19"/>
    <mergeCell ref="E17:E19"/>
    <mergeCell ref="I17:I19"/>
    <mergeCell ref="B2:F2"/>
    <mergeCell ref="I10:I12"/>
    <mergeCell ref="H2:I2"/>
    <mergeCell ref="K2:N2"/>
    <mergeCell ref="K3:N3"/>
    <mergeCell ref="K5:N5"/>
    <mergeCell ref="E10:E12"/>
    <mergeCell ref="F10:F12"/>
    <mergeCell ref="C10:C12"/>
    <mergeCell ref="D10:D12"/>
    <mergeCell ref="B10:B12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Sheet1!$A$12:$A$24</xm:f>
          </x14:formula1>
          <xm:sqref>B4</xm:sqref>
        </x14:dataValidation>
        <x14:dataValidation type="list" allowBlank="1" showInputMessage="1" showErrorMessage="1">
          <x14:formula1>
            <xm:f>Sheet1!$I$4:$I$7</xm:f>
          </x14:formula1>
          <xm:sqref>B5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0"/>
  <sheetViews>
    <sheetView showGridLines="0" showRowColHeaders="0" workbookViewId="0">
      <selection activeCell="J17" sqref="J17"/>
    </sheetView>
  </sheetViews>
  <sheetFormatPr defaultRowHeight="15" x14ac:dyDescent="0.25"/>
  <cols>
    <col min="1" max="1" width="17.42578125" customWidth="1"/>
    <col min="2" max="2" width="17.85546875" customWidth="1"/>
    <col min="3" max="3" width="15.85546875" customWidth="1"/>
    <col min="4" max="4" width="16.7109375" customWidth="1"/>
    <col min="5" max="6" width="17.140625" customWidth="1"/>
  </cols>
  <sheetData>
    <row r="1" spans="1:6" ht="15.75" thickBot="1" x14ac:dyDescent="0.3">
      <c r="A1" s="86"/>
      <c r="B1" s="87"/>
      <c r="C1" s="87"/>
      <c r="D1" s="87"/>
      <c r="E1" s="87"/>
      <c r="F1" s="88"/>
    </row>
    <row r="2" spans="1:6" ht="32.25" thickBot="1" x14ac:dyDescent="0.3">
      <c r="A2" s="85" t="s">
        <v>93</v>
      </c>
      <c r="B2" s="98">
        <v>50</v>
      </c>
      <c r="C2" s="83"/>
      <c r="D2" s="90"/>
      <c r="E2" s="85" t="s">
        <v>94</v>
      </c>
      <c r="F2" s="98" t="s">
        <v>51</v>
      </c>
    </row>
    <row r="3" spans="1:6" x14ac:dyDescent="0.25">
      <c r="A3" s="89"/>
      <c r="B3" s="90"/>
      <c r="C3" s="90"/>
      <c r="D3" s="90"/>
      <c r="E3" s="90"/>
      <c r="F3" s="91"/>
    </row>
    <row r="4" spans="1:6" ht="15.75" thickBot="1" x14ac:dyDescent="0.3">
      <c r="A4" s="89"/>
      <c r="B4" s="90"/>
      <c r="C4" s="90"/>
      <c r="D4" s="90"/>
      <c r="E4" s="90"/>
      <c r="F4" s="91"/>
    </row>
    <row r="5" spans="1:6" ht="16.5" thickBot="1" x14ac:dyDescent="0.3">
      <c r="A5" s="89"/>
      <c r="B5" s="99" t="s">
        <v>68</v>
      </c>
      <c r="C5" s="99" t="s">
        <v>69</v>
      </c>
      <c r="D5" s="99" t="s">
        <v>70</v>
      </c>
      <c r="E5" s="99" t="s">
        <v>71</v>
      </c>
      <c r="F5" s="99" t="s">
        <v>72</v>
      </c>
    </row>
    <row r="6" spans="1:6" ht="18.75" thickBot="1" x14ac:dyDescent="0.3">
      <c r="A6" s="84" t="s">
        <v>95</v>
      </c>
      <c r="B6" s="97">
        <v>9000</v>
      </c>
      <c r="C6" s="97">
        <v>2500</v>
      </c>
      <c r="D6" s="97">
        <v>0</v>
      </c>
      <c r="E6" s="97">
        <v>0</v>
      </c>
      <c r="F6" s="97">
        <v>0</v>
      </c>
    </row>
    <row r="7" spans="1:6" x14ac:dyDescent="0.25">
      <c r="A7" s="89"/>
      <c r="B7" s="90"/>
      <c r="C7" s="90"/>
      <c r="D7" s="90"/>
      <c r="E7" s="90"/>
      <c r="F7" s="91"/>
    </row>
    <row r="8" spans="1:6" ht="15.75" thickBot="1" x14ac:dyDescent="0.3">
      <c r="A8" s="89"/>
      <c r="B8" s="90"/>
      <c r="C8" s="90"/>
      <c r="D8" s="90"/>
      <c r="E8" s="90"/>
      <c r="F8" s="91"/>
    </row>
    <row r="9" spans="1:6" ht="16.5" customHeight="1" x14ac:dyDescent="0.25">
      <c r="A9" s="195" t="s">
        <v>81</v>
      </c>
      <c r="B9" s="172">
        <v>1400</v>
      </c>
      <c r="C9" s="90"/>
      <c r="D9" s="92"/>
      <c r="E9" s="195" t="s">
        <v>92</v>
      </c>
      <c r="F9" s="174">
        <f>SUM(B6:F6)</f>
        <v>11500</v>
      </c>
    </row>
    <row r="10" spans="1:6" ht="21.75" customHeight="1" thickBot="1" x14ac:dyDescent="0.3">
      <c r="A10" s="196"/>
      <c r="B10" s="173"/>
      <c r="C10" s="90"/>
      <c r="D10" s="92"/>
      <c r="E10" s="196"/>
      <c r="F10" s="175"/>
    </row>
    <row r="11" spans="1:6" ht="17.25" customHeight="1" thickBot="1" x14ac:dyDescent="0.3">
      <c r="A11" s="94"/>
      <c r="B11" s="93"/>
      <c r="C11" s="93"/>
      <c r="D11" s="93"/>
      <c r="E11" s="93"/>
      <c r="F11" s="95"/>
    </row>
    <row r="12" spans="1:6" ht="15.75" thickBot="1" x14ac:dyDescent="0.3">
      <c r="A12" s="182"/>
      <c r="B12" s="182"/>
      <c r="C12" s="182"/>
      <c r="D12" s="182"/>
      <c r="E12" s="182"/>
      <c r="F12" s="182"/>
    </row>
    <row r="13" spans="1:6" ht="11.25" customHeight="1" x14ac:dyDescent="0.25">
      <c r="A13" s="176" t="s">
        <v>96</v>
      </c>
      <c r="B13" s="177"/>
      <c r="C13" s="177"/>
      <c r="D13" s="177"/>
      <c r="E13" s="177"/>
      <c r="F13" s="178"/>
    </row>
    <row r="14" spans="1:6" ht="9.75" customHeight="1" thickBot="1" x14ac:dyDescent="0.3">
      <c r="A14" s="179"/>
      <c r="B14" s="180"/>
      <c r="C14" s="180"/>
      <c r="D14" s="180"/>
      <c r="E14" s="180"/>
      <c r="F14" s="181"/>
    </row>
    <row r="15" spans="1:6" ht="22.5" customHeight="1" x14ac:dyDescent="0.25">
      <c r="A15" s="183" t="s">
        <v>91</v>
      </c>
      <c r="B15" s="184"/>
      <c r="C15" s="187" t="s">
        <v>82</v>
      </c>
      <c r="D15" s="188"/>
      <c r="E15" s="191" t="s">
        <v>83</v>
      </c>
      <c r="F15" s="192"/>
    </row>
    <row r="16" spans="1:6" ht="22.5" customHeight="1" thickBot="1" x14ac:dyDescent="0.3">
      <c r="A16" s="185"/>
      <c r="B16" s="186"/>
      <c r="C16" s="189"/>
      <c r="D16" s="190"/>
      <c r="E16" s="193"/>
      <c r="F16" s="194"/>
    </row>
    <row r="17" spans="1:8" x14ac:dyDescent="0.25">
      <c r="A17" s="160">
        <f>Sheet2!N17</f>
        <v>28113.590643469557</v>
      </c>
      <c r="B17" s="161"/>
      <c r="C17" s="164">
        <f>A17/SUM(B6:F6)</f>
        <v>2.4446600559538747</v>
      </c>
      <c r="D17" s="165"/>
      <c r="E17" s="168">
        <f>A17/B9</f>
        <v>20.081136173906827</v>
      </c>
      <c r="F17" s="169"/>
    </row>
    <row r="18" spans="1:8" ht="15.75" thickBot="1" x14ac:dyDescent="0.3">
      <c r="A18" s="162"/>
      <c r="B18" s="163"/>
      <c r="C18" s="166"/>
      <c r="D18" s="167"/>
      <c r="E18" s="170"/>
      <c r="F18" s="171"/>
    </row>
    <row r="19" spans="1:8" ht="15.75" thickBot="1" x14ac:dyDescent="0.3"/>
    <row r="20" spans="1:8" ht="16.5" thickBot="1" x14ac:dyDescent="0.3">
      <c r="A20" s="151" t="s">
        <v>99</v>
      </c>
      <c r="B20" s="152"/>
      <c r="C20" s="152"/>
      <c r="D20" s="152"/>
      <c r="E20" s="152"/>
      <c r="F20" s="153"/>
      <c r="G20" s="200"/>
      <c r="H20" s="200"/>
    </row>
  </sheetData>
  <sheetProtection password="CE28" sheet="1" objects="1" scenarios="1"/>
  <mergeCells count="13">
    <mergeCell ref="A20:F20"/>
    <mergeCell ref="A17:B18"/>
    <mergeCell ref="C17:D18"/>
    <mergeCell ref="E17:F18"/>
    <mergeCell ref="B9:B10"/>
    <mergeCell ref="F9:F10"/>
    <mergeCell ref="A13:F14"/>
    <mergeCell ref="A12:F12"/>
    <mergeCell ref="A15:B16"/>
    <mergeCell ref="C15:D16"/>
    <mergeCell ref="E15:F16"/>
    <mergeCell ref="A9:A10"/>
    <mergeCell ref="E9:E10"/>
  </mergeCells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Sheet2!$B$1:$E$1</xm:f>
          </x14:formula1>
          <xm:sqref>F2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opLeftCell="B1" zoomScaleNormal="100" workbookViewId="0">
      <selection activeCell="L19" sqref="L19"/>
    </sheetView>
  </sheetViews>
  <sheetFormatPr defaultRowHeight="15" x14ac:dyDescent="0.25"/>
  <cols>
    <col min="1" max="1" width="30.7109375" customWidth="1"/>
    <col min="2" max="5" width="14.42578125" customWidth="1"/>
    <col min="6" max="6" width="6.28515625" customWidth="1"/>
    <col min="7" max="7" width="3.28515625" customWidth="1"/>
    <col min="8" max="8" width="3.140625" hidden="1" customWidth="1"/>
    <col min="9" max="9" width="5" customWidth="1"/>
    <col min="10" max="10" width="15.42578125" customWidth="1"/>
    <col min="11" max="11" width="14.5703125" customWidth="1"/>
    <col min="12" max="12" width="12" bestFit="1" customWidth="1"/>
    <col min="13" max="13" width="11" bestFit="1" customWidth="1"/>
    <col min="14" max="14" width="17.7109375" bestFit="1" customWidth="1"/>
    <col min="15" max="15" width="10.140625" bestFit="1" customWidth="1"/>
    <col min="16" max="16" width="10.85546875" bestFit="1" customWidth="1"/>
  </cols>
  <sheetData>
    <row r="1" spans="1:17" ht="16.5" thickBot="1" x14ac:dyDescent="0.3">
      <c r="A1" s="66" t="s">
        <v>48</v>
      </c>
      <c r="B1" s="66" t="s">
        <v>49</v>
      </c>
      <c r="C1" s="66" t="s">
        <v>50</v>
      </c>
      <c r="D1" s="66" t="s">
        <v>51</v>
      </c>
      <c r="E1" s="66" t="s">
        <v>52</v>
      </c>
    </row>
    <row r="2" spans="1:17" ht="28.5" customHeight="1" thickBot="1" x14ac:dyDescent="0.3">
      <c r="A2" s="66" t="s">
        <v>53</v>
      </c>
      <c r="B2" s="66">
        <f>2/$I$2^0.5</f>
        <v>2</v>
      </c>
      <c r="C2" s="66">
        <f>1/$I$2^0.5</f>
        <v>1</v>
      </c>
      <c r="D2" s="66">
        <f>0.75/$I$2^0.5</f>
        <v>0.75</v>
      </c>
      <c r="E2" s="66">
        <f>0.5/$I$2^0.5</f>
        <v>0.5</v>
      </c>
      <c r="H2" s="67" t="s">
        <v>58</v>
      </c>
      <c r="I2">
        <v>1</v>
      </c>
      <c r="J2" s="79" t="s">
        <v>74</v>
      </c>
      <c r="K2" s="78">
        <f>'Beton CO2 bağlama'!B2</f>
        <v>50</v>
      </c>
    </row>
    <row r="3" spans="1:17" ht="30.75" thickBot="1" x14ac:dyDescent="0.3">
      <c r="A3" s="66" t="s">
        <v>54</v>
      </c>
      <c r="B3" s="66">
        <f>3/$I$2^0.5</f>
        <v>3</v>
      </c>
      <c r="C3" s="66">
        <f>1.5/$I$2^0.5</f>
        <v>1.5</v>
      </c>
      <c r="D3" s="66">
        <f>1/$I$2^0.5</f>
        <v>1</v>
      </c>
      <c r="E3" s="66">
        <f>0.75/$I$2^0.5</f>
        <v>0.75</v>
      </c>
      <c r="I3" t="s">
        <v>58</v>
      </c>
      <c r="J3" s="77" t="s">
        <v>73</v>
      </c>
      <c r="K3" s="78" t="str">
        <f>'Beton CO2 bağlama'!F2</f>
        <v>25-35 MPa</v>
      </c>
    </row>
    <row r="4" spans="1:17" ht="16.5" thickBot="1" x14ac:dyDescent="0.3">
      <c r="A4" s="66" t="s">
        <v>55</v>
      </c>
      <c r="B4" s="66">
        <f>5/$I$2^0.5</f>
        <v>5</v>
      </c>
      <c r="C4" s="66">
        <f>2.5/$I$2^0.5</f>
        <v>2.5</v>
      </c>
      <c r="D4" s="66">
        <f>1.5/$I$2^0.5</f>
        <v>1.5</v>
      </c>
      <c r="E4" s="66">
        <f>1/$I$2^0.5</f>
        <v>1</v>
      </c>
    </row>
    <row r="5" spans="1:17" ht="16.5" thickBot="1" x14ac:dyDescent="0.3">
      <c r="A5" s="66" t="s">
        <v>56</v>
      </c>
      <c r="B5" s="66">
        <f>10/$I$2^0.5</f>
        <v>10</v>
      </c>
      <c r="C5" s="66">
        <f>6/$I$2^0.5</f>
        <v>6</v>
      </c>
      <c r="D5" s="66">
        <f>4/$I$2^0.5</f>
        <v>4</v>
      </c>
      <c r="E5" s="66">
        <f>2.5/$I$2^0.5</f>
        <v>2.5</v>
      </c>
      <c r="L5" s="80" t="s">
        <v>68</v>
      </c>
      <c r="M5" s="81" t="s">
        <v>69</v>
      </c>
      <c r="N5" s="81" t="s">
        <v>70</v>
      </c>
      <c r="O5" s="81" t="s">
        <v>71</v>
      </c>
      <c r="P5" s="82" t="s">
        <v>72</v>
      </c>
    </row>
    <row r="6" spans="1:17" ht="17.25" x14ac:dyDescent="0.25">
      <c r="A6" s="66" t="s">
        <v>57</v>
      </c>
      <c r="B6" s="66">
        <f>15/$I$2^0.5</f>
        <v>15</v>
      </c>
      <c r="C6" s="66">
        <f>9/$I$2^0.5</f>
        <v>9</v>
      </c>
      <c r="D6" s="66">
        <f>6/$I$2^0.5</f>
        <v>6</v>
      </c>
      <c r="E6" s="66">
        <f>3.5/$I$2^0.5</f>
        <v>3.5</v>
      </c>
      <c r="K6" t="s">
        <v>75</v>
      </c>
      <c r="L6" s="76">
        <f>'Beton CO2 bağlama'!B6</f>
        <v>9000</v>
      </c>
      <c r="M6" s="76">
        <f>'Beton CO2 bağlama'!C6</f>
        <v>2500</v>
      </c>
      <c r="N6" s="76">
        <f>'Beton CO2 bağlama'!D6</f>
        <v>0</v>
      </c>
      <c r="O6" s="76">
        <f>'Beton CO2 bağlama'!E6</f>
        <v>0</v>
      </c>
      <c r="P6" s="76">
        <f>'Beton CO2 bağlama'!F6</f>
        <v>0</v>
      </c>
      <c r="Q6" s="76">
        <f>'Beton CO2 bağlama'!G6</f>
        <v>0</v>
      </c>
    </row>
    <row r="7" spans="1:17" x14ac:dyDescent="0.25">
      <c r="L7">
        <f>IF($K$3=$A$24,B24,IF($K$3=$A$25,B25,IF($K$3=$A$26,B26,IF($K$3=$A$27,B27))))</f>
        <v>6</v>
      </c>
      <c r="M7">
        <f>IF($K$3=$A$24,C24,IF($K$3=$A$25,C25,IF($K$3=$A$26,C26,IF($K$3=$A$27,C27))))</f>
        <v>1.5</v>
      </c>
      <c r="N7">
        <f>IF($K$3=$A$24,D24,IF($K$3=$A$25,D25,IF($K$3=$A$26,D26,IF($K$3=$A$27,D27))))</f>
        <v>1</v>
      </c>
      <c r="O7">
        <f>IF($K$3=$A$24,E24,IF($K$3=$A$25,E25,IF($K$3=$A$26,E26,IF($K$3=$A$27,E27))))</f>
        <v>0.75</v>
      </c>
      <c r="P7">
        <f>IF($K$3=$A$24,F24,IF($K$3=$A$25,F25,IF($K$3=$A$26,F26,IF($K$3=$A$27,F27))))</f>
        <v>4</v>
      </c>
    </row>
    <row r="8" spans="1:17" x14ac:dyDescent="0.25">
      <c r="L8">
        <f>L7*K12*B10</f>
        <v>4.1999999999999993</v>
      </c>
      <c r="M8">
        <f>M7*K12*B11</f>
        <v>1.35</v>
      </c>
      <c r="N8">
        <f>N7*$K$12</f>
        <v>1</v>
      </c>
      <c r="O8">
        <f t="shared" ref="O8:P8" si="0">O7*$K$12</f>
        <v>0.75</v>
      </c>
      <c r="P8">
        <f t="shared" si="0"/>
        <v>4</v>
      </c>
    </row>
    <row r="10" spans="1:17" ht="15.75" x14ac:dyDescent="0.25">
      <c r="A10" s="68" t="s">
        <v>59</v>
      </c>
      <c r="B10">
        <v>0.7</v>
      </c>
      <c r="K10" s="76" t="b">
        <f>IF('Beton CO2 emisyonu'!C5&gt;0,'Beton CO2 emisyonu'!B5)</f>
        <v>0</v>
      </c>
    </row>
    <row r="11" spans="1:17" ht="15.75" x14ac:dyDescent="0.25">
      <c r="A11" s="68" t="s">
        <v>60</v>
      </c>
      <c r="B11">
        <v>0.9</v>
      </c>
      <c r="J11">
        <f>'Beton CO2 emisyonu'!C5/SUM('Beton CO2 emisyonu'!C4:C5)*100</f>
        <v>0</v>
      </c>
      <c r="K11" s="76" t="str">
        <f>IF(J11&lt;10,B15,IF(AND(J11&gt;=10,J11&lt;20),C15,IF(AND(J11&gt;=20,J11&lt;30),D15,IF(AND(J11&gt;=30,J11&lt;40),E15,IF(AND(J11&gt;=40,J11&lt;60),F15,IF(AND(J11&gt;=60,J11&lt;80),G15))))))</f>
        <v>&lt;10</v>
      </c>
    </row>
    <row r="12" spans="1:17" ht="15.75" x14ac:dyDescent="0.25">
      <c r="A12" s="68" t="s">
        <v>61</v>
      </c>
      <c r="B12">
        <v>1</v>
      </c>
      <c r="K12">
        <f>IF(AND(K10=A16,K11=C15),C16,IF(AND(K10=A16,K11=D15),D16,IF(AND(K10=A17,K11=B15),C17,IF(AND(K10=A17,K11=C15),C17,IF(AND(K10=A18,K11=C15),C18,IF(AND(K10=A18,K11=E15),E18,IF(AND(K10=A19,K11=B15),B19,IF(AND(K10=A19,K11=C15),C19,IF(AND(K10=A19,K11=D15),D19,IF(AND(K10=A19,K11=E15),E19,IF(AND(K10=A19,K11=F15),F19,IF(AND(K10=A19,K11=G15),G19,1))))))))))))</f>
        <v>1</v>
      </c>
    </row>
    <row r="14" spans="1:17" x14ac:dyDescent="0.25">
      <c r="L14">
        <f>L8*$K$2^0.5</f>
        <v>29.698484809834991</v>
      </c>
      <c r="M14">
        <f t="shared" ref="M14:P14" si="1">M8*$K$2^0.5</f>
        <v>9.5459415460183923</v>
      </c>
      <c r="N14">
        <f t="shared" si="1"/>
        <v>7.0710678118654755</v>
      </c>
      <c r="O14">
        <f t="shared" si="1"/>
        <v>5.3033008588991066</v>
      </c>
      <c r="P14">
        <f t="shared" si="1"/>
        <v>28.284271247461902</v>
      </c>
    </row>
    <row r="15" spans="1:17" ht="31.5" x14ac:dyDescent="0.25">
      <c r="A15" s="96" t="s">
        <v>84</v>
      </c>
      <c r="B15" s="69" t="s">
        <v>62</v>
      </c>
      <c r="C15" s="69" t="s">
        <v>63</v>
      </c>
      <c r="D15" s="69" t="s">
        <v>64</v>
      </c>
      <c r="E15" s="69" t="s">
        <v>65</v>
      </c>
      <c r="F15" s="69" t="s">
        <v>66</v>
      </c>
      <c r="G15" s="69" t="s">
        <v>67</v>
      </c>
      <c r="L15">
        <f>L6*L14/1000</f>
        <v>267.28636328851491</v>
      </c>
      <c r="M15">
        <f t="shared" ref="M15:P15" si="2">M6*M14/1000</f>
        <v>23.86485386504598</v>
      </c>
      <c r="N15">
        <f t="shared" si="2"/>
        <v>0</v>
      </c>
      <c r="O15">
        <f t="shared" si="2"/>
        <v>0</v>
      </c>
      <c r="P15">
        <f t="shared" si="2"/>
        <v>0</v>
      </c>
    </row>
    <row r="16" spans="1:17" ht="15.75" x14ac:dyDescent="0.25">
      <c r="A16" s="70" t="s">
        <v>80</v>
      </c>
      <c r="B16" s="71"/>
      <c r="C16" s="73">
        <v>1.05</v>
      </c>
      <c r="D16" s="73">
        <v>1.1000000000000001</v>
      </c>
      <c r="E16" s="71"/>
      <c r="F16" s="71"/>
      <c r="G16" s="71"/>
    </row>
    <row r="17" spans="1:14" ht="15.75" x14ac:dyDescent="0.25">
      <c r="A17" s="72" t="s">
        <v>77</v>
      </c>
      <c r="B17" s="73">
        <v>1.05</v>
      </c>
      <c r="C17" s="73">
        <v>1.1000000000000001</v>
      </c>
      <c r="D17" s="74"/>
      <c r="E17" s="74"/>
      <c r="F17" s="74"/>
      <c r="G17" s="74"/>
      <c r="L17">
        <f>SUM(L15:P15)</f>
        <v>291.15121715356088</v>
      </c>
      <c r="M17">
        <f>'Beton CO2 emisyonu'!I17:I19</f>
        <v>96.560100000000006</v>
      </c>
      <c r="N17">
        <f>L17*M17</f>
        <v>28113.590643469557</v>
      </c>
    </row>
    <row r="18" spans="1:14" ht="15.75" x14ac:dyDescent="0.25">
      <c r="A18" s="70" t="s">
        <v>78</v>
      </c>
      <c r="B18" s="71"/>
      <c r="C18" s="73">
        <v>1.05</v>
      </c>
      <c r="D18" s="71"/>
      <c r="E18" s="73">
        <v>1.1000000000000001</v>
      </c>
      <c r="F18" s="71"/>
      <c r="G18" s="71"/>
    </row>
    <row r="19" spans="1:14" ht="15.75" x14ac:dyDescent="0.25">
      <c r="A19" s="72" t="s">
        <v>79</v>
      </c>
      <c r="B19" s="73">
        <v>1.05</v>
      </c>
      <c r="C19" s="73">
        <v>1.1000000000000001</v>
      </c>
      <c r="D19" s="73">
        <v>1.1499999999999999</v>
      </c>
      <c r="E19" s="73">
        <v>1.2</v>
      </c>
      <c r="F19" s="73">
        <v>1.25</v>
      </c>
      <c r="G19" s="73">
        <v>1.3</v>
      </c>
    </row>
    <row r="23" spans="1:14" ht="15.75" x14ac:dyDescent="0.25">
      <c r="A23" s="66" t="s">
        <v>48</v>
      </c>
      <c r="B23" t="s">
        <v>57</v>
      </c>
      <c r="C23" t="s">
        <v>55</v>
      </c>
      <c r="D23" t="s">
        <v>54</v>
      </c>
      <c r="E23" t="s">
        <v>53</v>
      </c>
      <c r="F23" t="s">
        <v>56</v>
      </c>
    </row>
    <row r="24" spans="1:14" ht="15.75" x14ac:dyDescent="0.25">
      <c r="A24" s="66" t="s">
        <v>49</v>
      </c>
      <c r="B24">
        <v>15</v>
      </c>
      <c r="C24">
        <v>5</v>
      </c>
      <c r="D24">
        <v>3</v>
      </c>
      <c r="E24">
        <v>2</v>
      </c>
      <c r="F24">
        <v>10</v>
      </c>
    </row>
    <row r="25" spans="1:14" ht="15.75" x14ac:dyDescent="0.25">
      <c r="A25" s="66" t="s">
        <v>50</v>
      </c>
      <c r="B25">
        <v>9</v>
      </c>
      <c r="C25">
        <v>2.5</v>
      </c>
      <c r="D25">
        <v>1.5</v>
      </c>
      <c r="E25">
        <v>1</v>
      </c>
      <c r="F25">
        <v>6</v>
      </c>
    </row>
    <row r="26" spans="1:14" ht="15.75" x14ac:dyDescent="0.25">
      <c r="A26" s="66" t="s">
        <v>51</v>
      </c>
      <c r="B26">
        <v>6</v>
      </c>
      <c r="C26">
        <v>1.5</v>
      </c>
      <c r="D26">
        <v>1</v>
      </c>
      <c r="E26">
        <v>0.75</v>
      </c>
      <c r="F26">
        <v>4</v>
      </c>
    </row>
    <row r="27" spans="1:14" ht="15.75" x14ac:dyDescent="0.25">
      <c r="A27" s="66" t="s">
        <v>52</v>
      </c>
      <c r="B27">
        <v>3.5</v>
      </c>
      <c r="C27">
        <v>1</v>
      </c>
      <c r="D27">
        <v>0.75</v>
      </c>
      <c r="E27">
        <v>0.5</v>
      </c>
      <c r="F27">
        <v>2.5</v>
      </c>
    </row>
    <row r="31" spans="1:14" x14ac:dyDescent="0.25">
      <c r="B31" t="s">
        <v>53</v>
      </c>
      <c r="C31" t="s">
        <v>54</v>
      </c>
      <c r="D31" t="s">
        <v>55</v>
      </c>
      <c r="E31" t="s">
        <v>56</v>
      </c>
      <c r="F31" t="s">
        <v>57</v>
      </c>
    </row>
    <row r="32" spans="1:14" x14ac:dyDescent="0.25">
      <c r="B32">
        <v>2</v>
      </c>
      <c r="C32">
        <v>3</v>
      </c>
      <c r="D32">
        <v>5</v>
      </c>
      <c r="E32">
        <v>10</v>
      </c>
      <c r="F32">
        <v>15</v>
      </c>
    </row>
    <row r="33" spans="2:6" x14ac:dyDescent="0.25">
      <c r="B33">
        <v>1</v>
      </c>
      <c r="C33">
        <v>1.5</v>
      </c>
      <c r="D33">
        <v>2.5</v>
      </c>
      <c r="E33">
        <v>6</v>
      </c>
      <c r="F33">
        <v>9</v>
      </c>
    </row>
    <row r="34" spans="2:6" x14ac:dyDescent="0.25">
      <c r="B34">
        <v>0.75</v>
      </c>
      <c r="C34">
        <v>1</v>
      </c>
      <c r="D34">
        <v>1.5</v>
      </c>
      <c r="E34">
        <v>4</v>
      </c>
      <c r="F34">
        <v>6</v>
      </c>
    </row>
    <row r="35" spans="2:6" x14ac:dyDescent="0.25">
      <c r="B35">
        <v>0.5</v>
      </c>
      <c r="C35">
        <v>0.75</v>
      </c>
      <c r="D35">
        <v>1</v>
      </c>
      <c r="E35">
        <v>2.5</v>
      </c>
      <c r="F35">
        <v>3.5</v>
      </c>
    </row>
  </sheetData>
  <sheetProtection password="CE28" sheet="1" objects="1" scenarios="1"/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opLeftCell="A9" workbookViewId="0">
      <selection activeCell="A25" sqref="A25:H26"/>
    </sheetView>
  </sheetViews>
  <sheetFormatPr defaultRowHeight="15" x14ac:dyDescent="0.25"/>
  <cols>
    <col min="1" max="1" width="19.85546875" customWidth="1"/>
    <col min="9" max="9" width="13.140625" customWidth="1"/>
  </cols>
  <sheetData>
    <row r="1" spans="1:17" x14ac:dyDescent="0.25">
      <c r="A1" t="s">
        <v>85</v>
      </c>
    </row>
    <row r="2" spans="1:17" x14ac:dyDescent="0.25">
      <c r="A2" s="2" t="s">
        <v>0</v>
      </c>
      <c r="B2" s="3">
        <v>220</v>
      </c>
    </row>
    <row r="3" spans="1:17" x14ac:dyDescent="0.25">
      <c r="A3" s="2" t="s">
        <v>35</v>
      </c>
      <c r="B3" s="3">
        <v>1000</v>
      </c>
      <c r="M3">
        <v>0.5</v>
      </c>
      <c r="O3">
        <v>1.6</v>
      </c>
      <c r="Q3">
        <v>0.8</v>
      </c>
    </row>
    <row r="4" spans="1:17" x14ac:dyDescent="0.25">
      <c r="A4" s="2" t="s">
        <v>1</v>
      </c>
      <c r="B4" s="4">
        <v>5.36</v>
      </c>
      <c r="I4" t="s">
        <v>89</v>
      </c>
      <c r="M4">
        <v>2.35</v>
      </c>
      <c r="O4">
        <v>1</v>
      </c>
      <c r="Q4">
        <v>2.35</v>
      </c>
    </row>
    <row r="5" spans="1:17" x14ac:dyDescent="0.25">
      <c r="A5" s="2" t="s">
        <v>2</v>
      </c>
      <c r="B5" s="3">
        <v>1.5128626454764702</v>
      </c>
      <c r="I5" s="17" t="s">
        <v>16</v>
      </c>
      <c r="J5" s="3">
        <v>1.5128626454764702</v>
      </c>
      <c r="M5">
        <v>27</v>
      </c>
      <c r="Q5">
        <v>8</v>
      </c>
    </row>
    <row r="6" spans="1:17" x14ac:dyDescent="0.25">
      <c r="A6" s="2" t="s">
        <v>3</v>
      </c>
      <c r="B6" s="3">
        <v>128.55776473839651</v>
      </c>
      <c r="I6" s="17" t="s">
        <v>86</v>
      </c>
      <c r="J6" s="3">
        <v>128.55776473839651</v>
      </c>
    </row>
    <row r="7" spans="1:17" x14ac:dyDescent="0.25">
      <c r="A7" s="2" t="s">
        <v>4</v>
      </c>
      <c r="B7" s="3">
        <v>0.93</v>
      </c>
      <c r="I7" t="s">
        <v>87</v>
      </c>
      <c r="J7" s="3">
        <v>1.5128626454764702</v>
      </c>
    </row>
    <row r="8" spans="1:17" x14ac:dyDescent="0.25">
      <c r="A8" s="2" t="s">
        <v>5</v>
      </c>
      <c r="B8" s="3">
        <v>2735</v>
      </c>
    </row>
    <row r="9" spans="1:17" x14ac:dyDescent="0.25">
      <c r="A9" s="2" t="s">
        <v>6</v>
      </c>
      <c r="B9" s="7">
        <v>75</v>
      </c>
      <c r="D9" s="2" t="s">
        <v>6</v>
      </c>
      <c r="E9" s="7">
        <v>8</v>
      </c>
    </row>
    <row r="10" spans="1:17" x14ac:dyDescent="0.25">
      <c r="A10" s="2" t="s">
        <v>13</v>
      </c>
      <c r="B10" s="3">
        <v>10</v>
      </c>
    </row>
    <row r="11" spans="1:17" x14ac:dyDescent="0.25">
      <c r="A11" s="51" t="s">
        <v>29</v>
      </c>
      <c r="B11" s="52">
        <v>20</v>
      </c>
    </row>
    <row r="12" spans="1:17" ht="25.5" x14ac:dyDescent="0.25">
      <c r="A12" s="51" t="s">
        <v>88</v>
      </c>
      <c r="B12" s="10" t="s">
        <v>12</v>
      </c>
      <c r="C12" s="8" t="s">
        <v>2</v>
      </c>
      <c r="D12" s="8" t="s">
        <v>3</v>
      </c>
      <c r="E12" s="9" t="s">
        <v>6</v>
      </c>
      <c r="F12" s="9" t="s">
        <v>13</v>
      </c>
      <c r="G12" s="50" t="s">
        <v>28</v>
      </c>
    </row>
    <row r="13" spans="1:17" x14ac:dyDescent="0.25">
      <c r="A13" s="5" t="s">
        <v>32</v>
      </c>
      <c r="B13" s="1">
        <v>0.92</v>
      </c>
      <c r="C13" s="1">
        <v>0</v>
      </c>
      <c r="D13" s="1">
        <v>0</v>
      </c>
      <c r="E13" s="1">
        <v>0.04</v>
      </c>
      <c r="F13" s="1">
        <v>0</v>
      </c>
      <c r="G13" s="1">
        <v>0.04</v>
      </c>
      <c r="H13" s="6">
        <f>B13*$B$3+C13*$B$5+D13*$B$6+E13*$B$9+F13*$B$10+G13*$B$11</f>
        <v>923.8</v>
      </c>
      <c r="I13" s="100">
        <v>1</v>
      </c>
      <c r="J13" s="53">
        <f>SUM(B13:G13)</f>
        <v>1</v>
      </c>
    </row>
    <row r="14" spans="1:17" x14ac:dyDescent="0.25">
      <c r="A14" s="5" t="s">
        <v>33</v>
      </c>
      <c r="B14" s="1">
        <v>0.84</v>
      </c>
      <c r="C14" s="1">
        <v>0</v>
      </c>
      <c r="D14" s="1">
        <v>0</v>
      </c>
      <c r="E14" s="1">
        <v>0.12</v>
      </c>
      <c r="F14" s="1">
        <v>0</v>
      </c>
      <c r="G14" s="1">
        <v>0.04</v>
      </c>
      <c r="H14" s="6">
        <f t="shared" ref="H14:H26" si="0">B14*$B$3+C14*$B$5+D14*$B$6+E14*$B$9+F14*$B$10+G14*$B$11</f>
        <v>849.8</v>
      </c>
      <c r="I14" s="101">
        <v>1.1000000000000001</v>
      </c>
      <c r="J14" s="53">
        <f t="shared" ref="J14:J26" si="1">SUM(B14:G14)</f>
        <v>1</v>
      </c>
    </row>
    <row r="15" spans="1:17" x14ac:dyDescent="0.25">
      <c r="A15" s="5" t="s">
        <v>34</v>
      </c>
      <c r="B15" s="1">
        <v>0.86</v>
      </c>
      <c r="C15" s="1">
        <v>0</v>
      </c>
      <c r="D15" s="1">
        <v>0.1</v>
      </c>
      <c r="E15" s="1">
        <v>0</v>
      </c>
      <c r="F15" s="1">
        <v>0</v>
      </c>
      <c r="G15" s="1">
        <v>0.04</v>
      </c>
      <c r="H15" s="6">
        <f t="shared" si="0"/>
        <v>873.65577647383964</v>
      </c>
      <c r="I15" s="101">
        <v>1.1000000000000001</v>
      </c>
      <c r="J15" s="53">
        <f t="shared" si="1"/>
        <v>1</v>
      </c>
    </row>
    <row r="16" spans="1:17" x14ac:dyDescent="0.25">
      <c r="A16" s="5" t="s">
        <v>38</v>
      </c>
      <c r="B16" s="1">
        <v>0.77</v>
      </c>
      <c r="C16" s="1"/>
      <c r="D16" s="1">
        <v>0.1</v>
      </c>
      <c r="E16" s="1"/>
      <c r="F16" s="1"/>
      <c r="G16" s="1">
        <v>0.03</v>
      </c>
      <c r="H16" s="6">
        <f t="shared" si="0"/>
        <v>783.45577647383971</v>
      </c>
      <c r="I16" s="101">
        <v>1.1000000000000001</v>
      </c>
      <c r="J16" s="53"/>
    </row>
    <row r="17" spans="1:10" x14ac:dyDescent="0.25">
      <c r="A17" s="5" t="s">
        <v>37</v>
      </c>
      <c r="B17" s="1">
        <v>0.65</v>
      </c>
      <c r="C17" s="1"/>
      <c r="D17" s="1"/>
      <c r="E17" s="1">
        <v>0.31</v>
      </c>
      <c r="F17" s="1"/>
      <c r="G17" s="1">
        <v>0.04</v>
      </c>
      <c r="H17" s="6">
        <f t="shared" si="0"/>
        <v>674.05</v>
      </c>
      <c r="I17" s="101">
        <v>1.1499999999999999</v>
      </c>
      <c r="J17" s="53"/>
    </row>
    <row r="18" spans="1:10" x14ac:dyDescent="0.25">
      <c r="A18" s="5" t="s">
        <v>36</v>
      </c>
      <c r="B18" s="1">
        <v>0.65</v>
      </c>
      <c r="C18" s="1">
        <v>0</v>
      </c>
      <c r="D18" s="1">
        <v>0.15</v>
      </c>
      <c r="E18" s="1">
        <v>0.15</v>
      </c>
      <c r="F18" s="1">
        <v>0</v>
      </c>
      <c r="G18" s="1">
        <v>0.05</v>
      </c>
      <c r="H18" s="6">
        <f t="shared" si="0"/>
        <v>681.53366471075947</v>
      </c>
      <c r="I18" s="101">
        <v>1.1000000000000001</v>
      </c>
      <c r="J18" s="53">
        <f t="shared" si="1"/>
        <v>1</v>
      </c>
    </row>
    <row r="19" spans="1:10" x14ac:dyDescent="0.25">
      <c r="A19" s="5" t="s">
        <v>30</v>
      </c>
      <c r="B19" s="1">
        <v>0.55000000000000004</v>
      </c>
      <c r="C19" s="1">
        <v>0</v>
      </c>
      <c r="D19" s="1">
        <v>0</v>
      </c>
      <c r="E19" s="1">
        <v>0.05</v>
      </c>
      <c r="F19" s="1">
        <v>0.35</v>
      </c>
      <c r="G19" s="1">
        <v>0.05</v>
      </c>
      <c r="H19" s="6">
        <f t="shared" si="0"/>
        <v>558.25</v>
      </c>
      <c r="I19" s="101"/>
      <c r="J19" s="53">
        <f t="shared" si="1"/>
        <v>1</v>
      </c>
    </row>
    <row r="20" spans="1:10" x14ac:dyDescent="0.25">
      <c r="A20" s="5" t="s">
        <v>31</v>
      </c>
      <c r="B20" s="1">
        <v>0.75</v>
      </c>
      <c r="C20" s="1">
        <v>0</v>
      </c>
      <c r="D20" s="1">
        <v>0.16</v>
      </c>
      <c r="E20" s="1">
        <v>0.05</v>
      </c>
      <c r="F20" s="1">
        <v>0</v>
      </c>
      <c r="G20" s="1">
        <v>0.04</v>
      </c>
      <c r="H20" s="6">
        <f t="shared" si="0"/>
        <v>775.11924235814342</v>
      </c>
      <c r="I20" s="101"/>
      <c r="J20" s="53">
        <f t="shared" si="1"/>
        <v>1</v>
      </c>
    </row>
    <row r="21" spans="1:10" x14ac:dyDescent="0.25">
      <c r="A21" s="5" t="s">
        <v>7</v>
      </c>
      <c r="B21" s="1">
        <f t="shared" ref="B21:B26" si="2">1-C21-D21-E21</f>
        <v>0.7</v>
      </c>
      <c r="C21" s="1">
        <v>0.3</v>
      </c>
      <c r="D21" s="1">
        <v>0</v>
      </c>
      <c r="E21" s="1">
        <v>0</v>
      </c>
      <c r="F21" s="1">
        <v>0</v>
      </c>
      <c r="G21" s="1">
        <v>0</v>
      </c>
      <c r="H21" s="6">
        <f t="shared" si="0"/>
        <v>700.45385879364289</v>
      </c>
      <c r="I21" s="101"/>
      <c r="J21" s="53">
        <f t="shared" si="1"/>
        <v>1</v>
      </c>
    </row>
    <row r="22" spans="1:10" x14ac:dyDescent="0.25">
      <c r="A22" s="5" t="s">
        <v>8</v>
      </c>
      <c r="B22" s="1">
        <f t="shared" si="2"/>
        <v>0.5</v>
      </c>
      <c r="C22" s="1">
        <v>0</v>
      </c>
      <c r="D22" s="1">
        <v>0.5</v>
      </c>
      <c r="E22" s="1">
        <v>0</v>
      </c>
      <c r="F22" s="1">
        <v>0</v>
      </c>
      <c r="G22" s="1">
        <v>0</v>
      </c>
      <c r="H22" s="6">
        <f t="shared" si="0"/>
        <v>564.2788823691983</v>
      </c>
      <c r="I22" s="101"/>
      <c r="J22" s="53">
        <f t="shared" si="1"/>
        <v>1</v>
      </c>
    </row>
    <row r="23" spans="1:10" x14ac:dyDescent="0.25">
      <c r="A23" s="5" t="s">
        <v>10</v>
      </c>
      <c r="B23" s="1">
        <f t="shared" ref="B23:B24" si="3">1-C23-D23-E23</f>
        <v>0.57000000000000006</v>
      </c>
      <c r="C23" s="1">
        <v>0.18</v>
      </c>
      <c r="D23" s="1">
        <v>0.25</v>
      </c>
      <c r="E23" s="1">
        <v>0</v>
      </c>
      <c r="F23" s="1">
        <v>0</v>
      </c>
      <c r="G23" s="1">
        <v>0</v>
      </c>
      <c r="H23" s="6">
        <f t="shared" ref="H23:H24" si="4">B23*$B$3+C23*$B$5+D23*$B$6+E23*$B$9+F23*$B$10+G23*$B$11</f>
        <v>602.411756460785</v>
      </c>
      <c r="I23" s="101"/>
      <c r="J23" s="53">
        <f t="shared" si="1"/>
        <v>1</v>
      </c>
    </row>
    <row r="24" spans="1:10" x14ac:dyDescent="0.25">
      <c r="A24" s="5" t="s">
        <v>11</v>
      </c>
      <c r="B24" s="1">
        <f t="shared" si="3"/>
        <v>0.37999999999999995</v>
      </c>
      <c r="C24" s="1">
        <v>0.31</v>
      </c>
      <c r="D24" s="1">
        <v>0.31</v>
      </c>
      <c r="E24" s="1">
        <v>0</v>
      </c>
      <c r="F24" s="1">
        <v>0</v>
      </c>
      <c r="G24" s="1">
        <v>0</v>
      </c>
      <c r="H24" s="6">
        <f t="shared" si="4"/>
        <v>420.32189448900061</v>
      </c>
      <c r="I24" s="101"/>
      <c r="J24" s="53">
        <f t="shared" si="1"/>
        <v>1</v>
      </c>
    </row>
    <row r="25" spans="1:10" x14ac:dyDescent="0.25">
      <c r="A25" s="5"/>
      <c r="B25" s="1"/>
      <c r="C25" s="1"/>
      <c r="D25" s="1"/>
      <c r="E25" s="1"/>
      <c r="F25" s="1"/>
      <c r="G25" s="1"/>
      <c r="H25" s="6"/>
      <c r="I25" s="101"/>
      <c r="J25" s="53">
        <f t="shared" si="1"/>
        <v>0</v>
      </c>
    </row>
    <row r="26" spans="1:10" x14ac:dyDescent="0.25">
      <c r="A26" s="5"/>
      <c r="B26" s="1"/>
      <c r="C26" s="1"/>
      <c r="D26" s="1"/>
      <c r="E26" s="1"/>
      <c r="F26" s="1"/>
      <c r="G26" s="1"/>
      <c r="H26" s="6"/>
      <c r="I26" s="101"/>
      <c r="J26" s="53">
        <f t="shared" si="1"/>
        <v>0</v>
      </c>
    </row>
    <row r="29" spans="1:10" x14ac:dyDescent="0.25">
      <c r="G29">
        <f>LOOKUP('Beton CO2 emisyonu'!B4,A38:A51,B38:B51)</f>
        <v>0.92</v>
      </c>
    </row>
    <row r="30" spans="1:10" x14ac:dyDescent="0.25">
      <c r="A30" t="s">
        <v>24</v>
      </c>
      <c r="B30" s="29">
        <f>'Beton CO2 emisyonu'!E10</f>
        <v>288.46280000000002</v>
      </c>
      <c r="C30">
        <f>B30/SUM($B$30:$B$33)*100</f>
        <v>93.200104117085957</v>
      </c>
    </row>
    <row r="31" spans="1:10" x14ac:dyDescent="0.25">
      <c r="A31" t="s">
        <v>25</v>
      </c>
      <c r="B31" s="29">
        <f>'Beton CO2 emisyonu'!K3</f>
        <v>1.6</v>
      </c>
      <c r="C31">
        <f t="shared" ref="C31:C33" si="5">B31/SUM($B$30:$B$33)*100</f>
        <v>0.51694765005171395</v>
      </c>
    </row>
    <row r="32" spans="1:10" x14ac:dyDescent="0.25">
      <c r="A32" t="s">
        <v>26</v>
      </c>
      <c r="B32" s="29">
        <f>'Beton CO2 emisyonu'!I10</f>
        <v>14.796296296296296</v>
      </c>
      <c r="C32">
        <f t="shared" si="5"/>
        <v>4.7805691248995297</v>
      </c>
    </row>
    <row r="33" spans="1:3" x14ac:dyDescent="0.25">
      <c r="A33" t="s">
        <v>27</v>
      </c>
      <c r="B33" s="29">
        <f>'Beton CO2 emisyonu'!M7</f>
        <v>4.6500000000000004</v>
      </c>
      <c r="C33">
        <f t="shared" si="5"/>
        <v>1.5023791079627935</v>
      </c>
    </row>
    <row r="38" spans="1:3" x14ac:dyDescent="0.25">
      <c r="A38" t="s">
        <v>32</v>
      </c>
      <c r="B38">
        <v>0.92</v>
      </c>
    </row>
    <row r="39" spans="1:3" x14ac:dyDescent="0.25">
      <c r="A39" t="s">
        <v>33</v>
      </c>
      <c r="B39">
        <v>0.84</v>
      </c>
    </row>
    <row r="40" spans="1:3" x14ac:dyDescent="0.25">
      <c r="A40" t="s">
        <v>34</v>
      </c>
      <c r="B40">
        <v>0.86</v>
      </c>
    </row>
    <row r="41" spans="1:3" x14ac:dyDescent="0.25">
      <c r="A41" t="s">
        <v>38</v>
      </c>
      <c r="B41">
        <v>0.77</v>
      </c>
    </row>
    <row r="42" spans="1:3" x14ac:dyDescent="0.25">
      <c r="A42" t="s">
        <v>7</v>
      </c>
      <c r="B42">
        <v>0.7</v>
      </c>
    </row>
    <row r="43" spans="1:3" x14ac:dyDescent="0.25">
      <c r="A43" t="s">
        <v>37</v>
      </c>
      <c r="B43">
        <v>0.65</v>
      </c>
    </row>
    <row r="44" spans="1:3" x14ac:dyDescent="0.25">
      <c r="A44" t="s">
        <v>36</v>
      </c>
      <c r="B44">
        <v>0.65</v>
      </c>
    </row>
    <row r="45" spans="1:3" x14ac:dyDescent="0.25">
      <c r="A45" t="s">
        <v>8</v>
      </c>
      <c r="B45">
        <v>0.5</v>
      </c>
    </row>
    <row r="46" spans="1:3" x14ac:dyDescent="0.25">
      <c r="A46" t="s">
        <v>20</v>
      </c>
      <c r="B46">
        <v>0.65</v>
      </c>
    </row>
    <row r="47" spans="1:3" x14ac:dyDescent="0.25">
      <c r="A47" t="s">
        <v>9</v>
      </c>
      <c r="B47">
        <v>0.58000000000000007</v>
      </c>
    </row>
    <row r="48" spans="1:3" x14ac:dyDescent="0.25">
      <c r="A48" t="s">
        <v>31</v>
      </c>
      <c r="B48">
        <v>0.75</v>
      </c>
    </row>
    <row r="49" spans="1:2" x14ac:dyDescent="0.25">
      <c r="A49" t="s">
        <v>30</v>
      </c>
      <c r="B49">
        <v>0.55000000000000004</v>
      </c>
    </row>
    <row r="50" spans="1:2" x14ac:dyDescent="0.25">
      <c r="A50" t="s">
        <v>10</v>
      </c>
      <c r="B50">
        <v>0.57000000000000006</v>
      </c>
    </row>
    <row r="51" spans="1:2" x14ac:dyDescent="0.25">
      <c r="A51" t="s">
        <v>11</v>
      </c>
      <c r="B51">
        <v>0.37999999999999995</v>
      </c>
    </row>
  </sheetData>
  <sheetProtection password="CE28" sheet="1" objects="1" scenarios="1"/>
  <autoFilter ref="A37:B37">
    <sortState ref="A38:B51">
      <sortCondition ref="A37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AÇIKLAMA</vt:lpstr>
      <vt:lpstr>Beton CO2 emisyonu</vt:lpstr>
      <vt:lpstr>Beton CO2 bağlama</vt:lpstr>
      <vt:lpstr>Sheet2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ENGIN, Yasin</dc:creator>
  <cp:lastModifiedBy>yasin engin</cp:lastModifiedBy>
  <dcterms:created xsi:type="dcterms:W3CDTF">2014-03-16T22:09:14Z</dcterms:created>
  <dcterms:modified xsi:type="dcterms:W3CDTF">2015-02-02T18:23:36Z</dcterms:modified>
</cp:coreProperties>
</file>